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VideoLottery\"/>
    </mc:Choice>
  </mc:AlternateContent>
  <xr:revisionPtr revIDLastSave="0" documentId="8_{0CB54C50-4508-4423-B0C6-CA5AC87D1388}" xr6:coauthVersionLast="47" xr6:coauthVersionMax="47" xr10:uidLastSave="{00000000-0000-0000-0000-000000000000}"/>
  <bookViews>
    <workbookView xWindow="28680" yWindow="-120" windowWidth="29040" windowHeight="15720" tabRatio="593" xr2:uid="{00000000-000D-0000-FFFF-FFFF00000000}"/>
  </bookViews>
  <sheets>
    <sheet name="Total" sheetId="6" r:id="rId1"/>
    <sheet name="Mountaineer" sheetId="2" r:id="rId2"/>
    <sheet name="Wheeling" sheetId="3" r:id="rId3"/>
    <sheet name="Mardi Gras" sheetId="4" r:id="rId4"/>
    <sheet name="Charles Town" sheetId="5" r:id="rId5"/>
  </sheets>
  <definedNames>
    <definedName name="_xlnm.Print_Area" localSheetId="4">'Charles Town'!$A$1:$W$106</definedName>
    <definedName name="_xlnm.Print_Area" localSheetId="3">'Mardi Gras'!$A$1:$W$106</definedName>
    <definedName name="_xlnm.Print_Area" localSheetId="1">Mountaineer!$A$1:$W$59</definedName>
    <definedName name="_xlnm.Print_Area" localSheetId="0">Total!$A$1:$W$62</definedName>
    <definedName name="_xlnm.Print_Area" localSheetId="2">Wheeling!$A$1:$W$106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51" i="2" l="1"/>
  <c r="T51" i="2"/>
  <c r="I52" i="5" l="1"/>
  <c r="G52" i="5"/>
  <c r="N52" i="4"/>
  <c r="N52" i="3"/>
  <c r="F52" i="3"/>
  <c r="W57" i="6" l="1"/>
  <c r="W55" i="6"/>
  <c r="D55" i="6"/>
  <c r="C55" i="6"/>
  <c r="B55" i="6"/>
  <c r="A55" i="6"/>
  <c r="E52" i="5"/>
  <c r="V52" i="5" s="1"/>
  <c r="A52" i="5"/>
  <c r="E52" i="4"/>
  <c r="V52" i="4" s="1"/>
  <c r="A52" i="4"/>
  <c r="E52" i="3"/>
  <c r="V52" i="3" s="1"/>
  <c r="A52" i="3"/>
  <c r="E52" i="2"/>
  <c r="V52" i="2" s="1"/>
  <c r="V55" i="6" l="1"/>
  <c r="E55" i="6"/>
  <c r="F52" i="2"/>
  <c r="H52" i="5"/>
  <c r="H52" i="4"/>
  <c r="I52" i="4" s="1"/>
  <c r="G52" i="3"/>
  <c r="G52" i="2"/>
  <c r="W54" i="6"/>
  <c r="D54" i="6"/>
  <c r="C54" i="6"/>
  <c r="B54" i="6"/>
  <c r="E51" i="5"/>
  <c r="E51" i="4"/>
  <c r="E51" i="3"/>
  <c r="E51" i="2"/>
  <c r="G55" i="6" l="1"/>
  <c r="F55" i="6"/>
  <c r="V51" i="5"/>
  <c r="G51" i="5"/>
  <c r="H51" i="5" s="1"/>
  <c r="I51" i="5" s="1"/>
  <c r="K52" i="5"/>
  <c r="J52" i="5"/>
  <c r="K52" i="4"/>
  <c r="J52" i="4"/>
  <c r="V51" i="4"/>
  <c r="F51" i="4"/>
  <c r="H52" i="3"/>
  <c r="I52" i="3" s="1"/>
  <c r="J52" i="3" s="1"/>
  <c r="V51" i="3"/>
  <c r="F51" i="3"/>
  <c r="H52" i="2"/>
  <c r="V51" i="2"/>
  <c r="V54" i="6" s="1"/>
  <c r="F51" i="2"/>
  <c r="E54" i="6"/>
  <c r="G51" i="4"/>
  <c r="G51" i="3"/>
  <c r="G51" i="2"/>
  <c r="I52" i="2" l="1"/>
  <c r="H55" i="6"/>
  <c r="L52" i="5"/>
  <c r="L52" i="4"/>
  <c r="T52" i="4"/>
  <c r="K52" i="3"/>
  <c r="L52" i="3" s="1"/>
  <c r="J52" i="2"/>
  <c r="H51" i="3"/>
  <c r="I51" i="3" s="1"/>
  <c r="K51" i="3" s="1"/>
  <c r="G54" i="6"/>
  <c r="F54" i="6"/>
  <c r="K51" i="5"/>
  <c r="J51" i="5"/>
  <c r="H51" i="4"/>
  <c r="I51" i="4" s="1"/>
  <c r="J51" i="4" s="1"/>
  <c r="H51" i="2"/>
  <c r="T52" i="5" l="1"/>
  <c r="U52" i="5"/>
  <c r="O52" i="5"/>
  <c r="U52" i="4"/>
  <c r="J55" i="6"/>
  <c r="K52" i="2"/>
  <c r="K55" i="6" s="1"/>
  <c r="I55" i="6"/>
  <c r="S52" i="5"/>
  <c r="R52" i="5"/>
  <c r="M52" i="5"/>
  <c r="P52" i="5"/>
  <c r="Q52" i="5"/>
  <c r="M52" i="4"/>
  <c r="O52" i="4"/>
  <c r="P52" i="4"/>
  <c r="Q52" i="4"/>
  <c r="R52" i="4"/>
  <c r="S52" i="4"/>
  <c r="U52" i="3"/>
  <c r="T52" i="3"/>
  <c r="S52" i="3"/>
  <c r="Q52" i="3"/>
  <c r="P52" i="3"/>
  <c r="O52" i="3"/>
  <c r="R52" i="3"/>
  <c r="M52" i="3"/>
  <c r="J51" i="3"/>
  <c r="I51" i="2"/>
  <c r="I54" i="6" s="1"/>
  <c r="H54" i="6"/>
  <c r="L51" i="5"/>
  <c r="K51" i="4"/>
  <c r="L51" i="4" s="1"/>
  <c r="N51" i="4" s="1"/>
  <c r="L51" i="3"/>
  <c r="J51" i="2"/>
  <c r="L52" i="2" l="1"/>
  <c r="T51" i="5"/>
  <c r="O51" i="5"/>
  <c r="U51" i="5"/>
  <c r="S51" i="4"/>
  <c r="O51" i="4"/>
  <c r="U51" i="3"/>
  <c r="N51" i="3"/>
  <c r="K51" i="2"/>
  <c r="K54" i="6" s="1"/>
  <c r="J54" i="6"/>
  <c r="S51" i="5"/>
  <c r="R51" i="5"/>
  <c r="Q51" i="5"/>
  <c r="P51" i="5"/>
  <c r="M51" i="5"/>
  <c r="R51" i="4"/>
  <c r="M51" i="4"/>
  <c r="P51" i="4"/>
  <c r="Q51" i="4"/>
  <c r="U51" i="4"/>
  <c r="T51" i="4"/>
  <c r="M51" i="3"/>
  <c r="O51" i="3"/>
  <c r="P51" i="3"/>
  <c r="Q51" i="3"/>
  <c r="R51" i="3"/>
  <c r="S51" i="3"/>
  <c r="T51" i="3"/>
  <c r="S52" i="2" l="1"/>
  <c r="S55" i="6" s="1"/>
  <c r="L55" i="6"/>
  <c r="N52" i="2"/>
  <c r="N55" i="6" s="1"/>
  <c r="P52" i="2"/>
  <c r="P55" i="6" s="1"/>
  <c r="Q52" i="2"/>
  <c r="Q55" i="6" s="1"/>
  <c r="R52" i="2"/>
  <c r="R55" i="6" s="1"/>
  <c r="U52" i="2"/>
  <c r="U55" i="6" s="1"/>
  <c r="M52" i="2"/>
  <c r="M55" i="6" s="1"/>
  <c r="O52" i="2"/>
  <c r="O55" i="6" s="1"/>
  <c r="T52" i="2"/>
  <c r="T55" i="6" s="1"/>
  <c r="L51" i="2"/>
  <c r="S51" i="2" s="1"/>
  <c r="S54" i="6" s="1"/>
  <c r="P51" i="2"/>
  <c r="P54" i="6" s="1"/>
  <c r="Q51" i="2"/>
  <c r="Q54" i="6" s="1"/>
  <c r="R51" i="2"/>
  <c r="R54" i="6" s="1"/>
  <c r="T54" i="6"/>
  <c r="U54" i="6"/>
  <c r="W53" i="6"/>
  <c r="D53" i="6"/>
  <c r="C53" i="6"/>
  <c r="B53" i="6"/>
  <c r="E50" i="5"/>
  <c r="E50" i="4"/>
  <c r="V50" i="4" s="1"/>
  <c r="E50" i="3"/>
  <c r="V50" i="3" s="1"/>
  <c r="E50" i="2"/>
  <c r="V50" i="2" s="1"/>
  <c r="L54" i="6" l="1"/>
  <c r="N51" i="2"/>
  <c r="N54" i="6" s="1"/>
  <c r="M51" i="2"/>
  <c r="M54" i="6" s="1"/>
  <c r="O51" i="2"/>
  <c r="O54" i="6" s="1"/>
  <c r="V50" i="5"/>
  <c r="G50" i="5"/>
  <c r="H50" i="5" s="1"/>
  <c r="I50" i="5" s="1"/>
  <c r="V53" i="6"/>
  <c r="E53" i="6"/>
  <c r="F50" i="4"/>
  <c r="G50" i="4"/>
  <c r="G50" i="3"/>
  <c r="F50" i="3"/>
  <c r="F50" i="2"/>
  <c r="G50" i="2"/>
  <c r="W52" i="6"/>
  <c r="D52" i="6"/>
  <c r="C52" i="6"/>
  <c r="B52" i="6"/>
  <c r="E49" i="5"/>
  <c r="E49" i="4"/>
  <c r="V49" i="4" s="1"/>
  <c r="E49" i="3"/>
  <c r="V49" i="3" s="1"/>
  <c r="E49" i="2"/>
  <c r="V49" i="2" s="1"/>
  <c r="H50" i="3" l="1"/>
  <c r="I50" i="3" s="1"/>
  <c r="H50" i="4"/>
  <c r="I50" i="4" s="1"/>
  <c r="F53" i="6"/>
  <c r="H50" i="2"/>
  <c r="G53" i="6"/>
  <c r="K50" i="5"/>
  <c r="J50" i="5"/>
  <c r="V49" i="5"/>
  <c r="G49" i="5"/>
  <c r="H49" i="5" s="1"/>
  <c r="I49" i="5" s="1"/>
  <c r="J49" i="5" s="1"/>
  <c r="K50" i="4"/>
  <c r="J50" i="4"/>
  <c r="K50" i="3"/>
  <c r="J50" i="3"/>
  <c r="V52" i="6"/>
  <c r="E52" i="6"/>
  <c r="F49" i="2"/>
  <c r="G49" i="4"/>
  <c r="F49" i="4"/>
  <c r="H49" i="4" s="1"/>
  <c r="I49" i="4" s="1"/>
  <c r="G49" i="3"/>
  <c r="F49" i="3"/>
  <c r="G49" i="2"/>
  <c r="W51" i="6"/>
  <c r="D51" i="6"/>
  <c r="C51" i="6"/>
  <c r="B51" i="6"/>
  <c r="E48" i="5"/>
  <c r="E48" i="4"/>
  <c r="V48" i="4" s="1"/>
  <c r="E48" i="3"/>
  <c r="E48" i="2"/>
  <c r="F48" i="2" s="1"/>
  <c r="E47" i="3"/>
  <c r="V47" i="3" s="1"/>
  <c r="L50" i="5" l="1"/>
  <c r="P50" i="5" s="1"/>
  <c r="I50" i="2"/>
  <c r="H53" i="6"/>
  <c r="L50" i="4"/>
  <c r="N50" i="4" s="1"/>
  <c r="L50" i="3"/>
  <c r="F52" i="6"/>
  <c r="G52" i="6"/>
  <c r="K49" i="5"/>
  <c r="K49" i="4"/>
  <c r="J49" i="4"/>
  <c r="H49" i="3"/>
  <c r="I49" i="3" s="1"/>
  <c r="K49" i="3" s="1"/>
  <c r="H49" i="2"/>
  <c r="E51" i="6"/>
  <c r="V48" i="5"/>
  <c r="G48" i="5"/>
  <c r="H48" i="5" s="1"/>
  <c r="I48" i="5" s="1"/>
  <c r="J48" i="5" s="1"/>
  <c r="G48" i="4"/>
  <c r="F48" i="4"/>
  <c r="G47" i="3"/>
  <c r="F48" i="3"/>
  <c r="V48" i="3"/>
  <c r="F47" i="3"/>
  <c r="H47" i="3" s="1"/>
  <c r="I47" i="3" s="1"/>
  <c r="K47" i="3" s="1"/>
  <c r="G48" i="3"/>
  <c r="V48" i="2"/>
  <c r="G48" i="2"/>
  <c r="Q50" i="5" l="1"/>
  <c r="R50" i="5"/>
  <c r="S50" i="5"/>
  <c r="M50" i="5"/>
  <c r="U50" i="5"/>
  <c r="T50" i="5"/>
  <c r="O50" i="5"/>
  <c r="S50" i="3"/>
  <c r="N50" i="3"/>
  <c r="U50" i="4"/>
  <c r="I53" i="6"/>
  <c r="K50" i="2"/>
  <c r="K53" i="6" s="1"/>
  <c r="J50" i="2"/>
  <c r="M50" i="4"/>
  <c r="O50" i="4"/>
  <c r="P50" i="4"/>
  <c r="Q50" i="4"/>
  <c r="R50" i="4"/>
  <c r="S50" i="4"/>
  <c r="T50" i="4"/>
  <c r="M50" i="3"/>
  <c r="O50" i="3"/>
  <c r="P50" i="3"/>
  <c r="T50" i="3"/>
  <c r="U50" i="3"/>
  <c r="Q50" i="3"/>
  <c r="R50" i="3"/>
  <c r="I49" i="2"/>
  <c r="I52" i="6" s="1"/>
  <c r="H52" i="6"/>
  <c r="L49" i="5"/>
  <c r="O49" i="5" s="1"/>
  <c r="L49" i="4"/>
  <c r="N49" i="4" s="1"/>
  <c r="J49" i="3"/>
  <c r="L49" i="3" s="1"/>
  <c r="F51" i="6"/>
  <c r="H48" i="2"/>
  <c r="G51" i="6"/>
  <c r="V51" i="6"/>
  <c r="K48" i="5"/>
  <c r="H48" i="4"/>
  <c r="I48" i="4" s="1"/>
  <c r="K48" i="4" s="1"/>
  <c r="H48" i="3"/>
  <c r="I48" i="3" s="1"/>
  <c r="K48" i="3" s="1"/>
  <c r="J47" i="3"/>
  <c r="L47" i="3" s="1"/>
  <c r="M47" i="3" s="1"/>
  <c r="L50" i="2" l="1"/>
  <c r="J53" i="6"/>
  <c r="K49" i="2"/>
  <c r="K52" i="6" s="1"/>
  <c r="J49" i="2"/>
  <c r="J52" i="6" s="1"/>
  <c r="M49" i="5"/>
  <c r="U49" i="5"/>
  <c r="T49" i="5"/>
  <c r="P49" i="5"/>
  <c r="Q49" i="5"/>
  <c r="R49" i="5"/>
  <c r="S49" i="5"/>
  <c r="M49" i="4"/>
  <c r="U49" i="4"/>
  <c r="S49" i="4"/>
  <c r="T49" i="4"/>
  <c r="R49" i="4"/>
  <c r="Q49" i="4"/>
  <c r="P49" i="4"/>
  <c r="O49" i="4"/>
  <c r="S49" i="3"/>
  <c r="R49" i="3"/>
  <c r="Q49" i="3"/>
  <c r="M49" i="3"/>
  <c r="T49" i="3"/>
  <c r="P49" i="3"/>
  <c r="O49" i="3"/>
  <c r="N49" i="3"/>
  <c r="U49" i="3"/>
  <c r="I48" i="2"/>
  <c r="H51" i="6"/>
  <c r="L48" i="5"/>
  <c r="J48" i="4"/>
  <c r="L48" i="4" s="1"/>
  <c r="J48" i="3"/>
  <c r="L48" i="3" s="1"/>
  <c r="U47" i="3"/>
  <c r="Q47" i="3"/>
  <c r="T47" i="3"/>
  <c r="O47" i="3"/>
  <c r="P47" i="3"/>
  <c r="S47" i="3"/>
  <c r="N47" i="3"/>
  <c r="R47" i="3"/>
  <c r="W50" i="6"/>
  <c r="D50" i="6"/>
  <c r="C50" i="6"/>
  <c r="B50" i="6"/>
  <c r="E47" i="5"/>
  <c r="V47" i="5" s="1"/>
  <c r="E47" i="4"/>
  <c r="V47" i="4" s="1"/>
  <c r="E47" i="2"/>
  <c r="W49" i="6"/>
  <c r="D49" i="6"/>
  <c r="C49" i="6"/>
  <c r="B49" i="6"/>
  <c r="E46" i="5"/>
  <c r="V46" i="5" s="1"/>
  <c r="E46" i="4"/>
  <c r="V46" i="4" s="1"/>
  <c r="E46" i="3"/>
  <c r="V46" i="3" s="1"/>
  <c r="E46" i="2"/>
  <c r="V46" i="2" s="1"/>
  <c r="L49" i="2" l="1"/>
  <c r="N49" i="2" s="1"/>
  <c r="N52" i="6" s="1"/>
  <c r="L53" i="6"/>
  <c r="N50" i="2"/>
  <c r="N53" i="6" s="1"/>
  <c r="R50" i="2"/>
  <c r="R53" i="6" s="1"/>
  <c r="O50" i="2"/>
  <c r="O53" i="6" s="1"/>
  <c r="M50" i="2"/>
  <c r="M53" i="6" s="1"/>
  <c r="Q50" i="2"/>
  <c r="Q53" i="6" s="1"/>
  <c r="T50" i="2"/>
  <c r="T53" i="6" s="1"/>
  <c r="U50" i="2"/>
  <c r="U53" i="6" s="1"/>
  <c r="S50" i="2"/>
  <c r="S53" i="6" s="1"/>
  <c r="P50" i="2"/>
  <c r="P53" i="6" s="1"/>
  <c r="U48" i="5"/>
  <c r="T48" i="5"/>
  <c r="O48" i="5"/>
  <c r="U48" i="4"/>
  <c r="N48" i="4"/>
  <c r="I51" i="6"/>
  <c r="K48" i="2"/>
  <c r="K51" i="6" s="1"/>
  <c r="J48" i="2"/>
  <c r="R48" i="5"/>
  <c r="S48" i="5"/>
  <c r="P48" i="5"/>
  <c r="M48" i="5"/>
  <c r="Q48" i="5"/>
  <c r="Q48" i="4"/>
  <c r="R48" i="4"/>
  <c r="P48" i="4"/>
  <c r="O48" i="4"/>
  <c r="S48" i="4"/>
  <c r="M48" i="4"/>
  <c r="T48" i="4"/>
  <c r="V49" i="6"/>
  <c r="R48" i="3"/>
  <c r="Q48" i="3"/>
  <c r="P48" i="3"/>
  <c r="S48" i="3"/>
  <c r="O48" i="3"/>
  <c r="N48" i="3"/>
  <c r="U48" i="3"/>
  <c r="M48" i="3"/>
  <c r="T48" i="3"/>
  <c r="V47" i="2"/>
  <c r="V50" i="6" s="1"/>
  <c r="F47" i="2"/>
  <c r="F47" i="4"/>
  <c r="E50" i="6"/>
  <c r="G47" i="5"/>
  <c r="H47" i="5" s="1"/>
  <c r="I47" i="5" s="1"/>
  <c r="G47" i="4"/>
  <c r="F46" i="4"/>
  <c r="G47" i="2"/>
  <c r="F46" i="2"/>
  <c r="E49" i="6"/>
  <c r="G46" i="5"/>
  <c r="H46" i="5" s="1"/>
  <c r="I46" i="5" s="1"/>
  <c r="G46" i="4"/>
  <c r="G46" i="3"/>
  <c r="F46" i="3"/>
  <c r="G46" i="2"/>
  <c r="W48" i="6"/>
  <c r="D48" i="6"/>
  <c r="C48" i="6"/>
  <c r="B48" i="6"/>
  <c r="E45" i="5"/>
  <c r="G45" i="5" s="1"/>
  <c r="E45" i="4"/>
  <c r="G45" i="4" s="1"/>
  <c r="E45" i="3"/>
  <c r="V45" i="3" s="1"/>
  <c r="E45" i="2"/>
  <c r="L52" i="6" l="1"/>
  <c r="Q49" i="2"/>
  <c r="Q52" i="6" s="1"/>
  <c r="U49" i="2"/>
  <c r="U52" i="6" s="1"/>
  <c r="P49" i="2"/>
  <c r="P52" i="6" s="1"/>
  <c r="M49" i="2"/>
  <c r="M52" i="6" s="1"/>
  <c r="R49" i="2"/>
  <c r="R52" i="6" s="1"/>
  <c r="S49" i="2"/>
  <c r="S52" i="6" s="1"/>
  <c r="T49" i="2"/>
  <c r="T52" i="6" s="1"/>
  <c r="O49" i="2"/>
  <c r="O52" i="6" s="1"/>
  <c r="H46" i="3"/>
  <c r="I46" i="3" s="1"/>
  <c r="J46" i="3" s="1"/>
  <c r="J51" i="6"/>
  <c r="L48" i="2"/>
  <c r="H47" i="4"/>
  <c r="I47" i="4" s="1"/>
  <c r="K47" i="4" s="1"/>
  <c r="G50" i="6"/>
  <c r="H47" i="2"/>
  <c r="F50" i="6"/>
  <c r="K47" i="5"/>
  <c r="J47" i="5"/>
  <c r="G49" i="6"/>
  <c r="F49" i="6"/>
  <c r="K46" i="5"/>
  <c r="J46" i="5"/>
  <c r="H46" i="4"/>
  <c r="I46" i="4" s="1"/>
  <c r="J46" i="4" s="1"/>
  <c r="H46" i="2"/>
  <c r="E48" i="6"/>
  <c r="F45" i="2"/>
  <c r="H45" i="5"/>
  <c r="I45" i="5" s="1"/>
  <c r="V45" i="5"/>
  <c r="F45" i="4"/>
  <c r="H45" i="4" s="1"/>
  <c r="I45" i="4" s="1"/>
  <c r="V45" i="4"/>
  <c r="G45" i="3"/>
  <c r="F45" i="3"/>
  <c r="H45" i="3" s="1"/>
  <c r="I45" i="3" s="1"/>
  <c r="V45" i="2"/>
  <c r="G45" i="2"/>
  <c r="W47" i="6"/>
  <c r="D47" i="6"/>
  <c r="C47" i="6"/>
  <c r="B47" i="6"/>
  <c r="E44" i="5"/>
  <c r="E44" i="4"/>
  <c r="V44" i="4" s="1"/>
  <c r="E44" i="3"/>
  <c r="V44" i="3" s="1"/>
  <c r="E44" i="2"/>
  <c r="V44" i="2" s="1"/>
  <c r="J47" i="4" l="1"/>
  <c r="L47" i="4" s="1"/>
  <c r="N47" i="4" s="1"/>
  <c r="K46" i="3"/>
  <c r="T48" i="2"/>
  <c r="U48" i="2"/>
  <c r="N48" i="2"/>
  <c r="N51" i="6" s="1"/>
  <c r="L51" i="6"/>
  <c r="P48" i="2"/>
  <c r="P51" i="6" s="1"/>
  <c r="M48" i="2"/>
  <c r="M51" i="6" s="1"/>
  <c r="U51" i="6"/>
  <c r="T51" i="6"/>
  <c r="S48" i="2"/>
  <c r="S51" i="6" s="1"/>
  <c r="R48" i="2"/>
  <c r="R51" i="6" s="1"/>
  <c r="O48" i="2"/>
  <c r="O51" i="6" s="1"/>
  <c r="Q48" i="2"/>
  <c r="Q51" i="6" s="1"/>
  <c r="I47" i="2"/>
  <c r="H50" i="6"/>
  <c r="L47" i="5"/>
  <c r="O47" i="5" s="1"/>
  <c r="K46" i="4"/>
  <c r="L46" i="4" s="1"/>
  <c r="N46" i="4" s="1"/>
  <c r="I46" i="2"/>
  <c r="J46" i="2" s="1"/>
  <c r="H49" i="6"/>
  <c r="L46" i="5"/>
  <c r="L46" i="3"/>
  <c r="G48" i="6"/>
  <c r="H45" i="2"/>
  <c r="F48" i="6"/>
  <c r="V48" i="6"/>
  <c r="K45" i="5"/>
  <c r="J45" i="5"/>
  <c r="V44" i="5"/>
  <c r="V47" i="6" s="1"/>
  <c r="G44" i="5"/>
  <c r="H44" i="5" s="1"/>
  <c r="I44" i="5" s="1"/>
  <c r="J45" i="4"/>
  <c r="K45" i="4"/>
  <c r="K45" i="3"/>
  <c r="J45" i="3"/>
  <c r="F44" i="4"/>
  <c r="E47" i="6"/>
  <c r="G44" i="4"/>
  <c r="G44" i="3"/>
  <c r="F44" i="3"/>
  <c r="G44" i="2"/>
  <c r="F44" i="2"/>
  <c r="L45" i="3" l="1"/>
  <c r="N45" i="3" s="1"/>
  <c r="U47" i="5"/>
  <c r="T47" i="5"/>
  <c r="I50" i="6"/>
  <c r="K47" i="2"/>
  <c r="K50" i="6" s="1"/>
  <c r="J47" i="2"/>
  <c r="M47" i="5"/>
  <c r="P47" i="5"/>
  <c r="Q47" i="5"/>
  <c r="R47" i="5"/>
  <c r="S47" i="5"/>
  <c r="U46" i="5"/>
  <c r="O46" i="5"/>
  <c r="T46" i="5"/>
  <c r="U47" i="4"/>
  <c r="M47" i="4"/>
  <c r="T47" i="4"/>
  <c r="O47" i="4"/>
  <c r="S47" i="4"/>
  <c r="Q47" i="4"/>
  <c r="R47" i="4"/>
  <c r="P47" i="4"/>
  <c r="H44" i="3"/>
  <c r="I44" i="3" s="1"/>
  <c r="K44" i="3" s="1"/>
  <c r="J49" i="6"/>
  <c r="K46" i="2"/>
  <c r="K49" i="6" s="1"/>
  <c r="I49" i="6"/>
  <c r="M46" i="5"/>
  <c r="Q46" i="5"/>
  <c r="P46" i="5"/>
  <c r="R46" i="5"/>
  <c r="S46" i="5"/>
  <c r="M46" i="4"/>
  <c r="O46" i="4"/>
  <c r="R46" i="4"/>
  <c r="S46" i="4"/>
  <c r="T46" i="4"/>
  <c r="U46" i="4"/>
  <c r="P46" i="4"/>
  <c r="Q46" i="4"/>
  <c r="N46" i="3"/>
  <c r="U46" i="3"/>
  <c r="M46" i="3"/>
  <c r="T46" i="3"/>
  <c r="S46" i="3"/>
  <c r="R46" i="3"/>
  <c r="O46" i="3"/>
  <c r="Q46" i="3"/>
  <c r="P46" i="3"/>
  <c r="I45" i="2"/>
  <c r="H48" i="6"/>
  <c r="L45" i="5"/>
  <c r="O45" i="5" s="1"/>
  <c r="L45" i="4"/>
  <c r="N45" i="4" s="1"/>
  <c r="H44" i="4"/>
  <c r="I44" i="4" s="1"/>
  <c r="K44" i="4" s="1"/>
  <c r="S45" i="3"/>
  <c r="G47" i="6"/>
  <c r="H44" i="2"/>
  <c r="F47" i="6"/>
  <c r="J44" i="5"/>
  <c r="K44" i="5"/>
  <c r="T45" i="3" l="1"/>
  <c r="U45" i="3"/>
  <c r="O45" i="3"/>
  <c r="M45" i="3"/>
  <c r="P45" i="3"/>
  <c r="Q45" i="3"/>
  <c r="R45" i="3"/>
  <c r="J44" i="3"/>
  <c r="L44" i="3" s="1"/>
  <c r="L47" i="2"/>
  <c r="N47" i="2" s="1"/>
  <c r="J50" i="6"/>
  <c r="L46" i="2"/>
  <c r="J44" i="4"/>
  <c r="L44" i="4" s="1"/>
  <c r="N44" i="4" s="1"/>
  <c r="Q45" i="5"/>
  <c r="U45" i="5"/>
  <c r="T45" i="5"/>
  <c r="T45" i="4"/>
  <c r="I48" i="6"/>
  <c r="K45" i="2"/>
  <c r="K48" i="6" s="1"/>
  <c r="J45" i="2"/>
  <c r="R45" i="5"/>
  <c r="P45" i="5"/>
  <c r="S45" i="5"/>
  <c r="M45" i="5"/>
  <c r="O45" i="4"/>
  <c r="M45" i="4"/>
  <c r="S45" i="4"/>
  <c r="U45" i="4"/>
  <c r="P45" i="4"/>
  <c r="Q45" i="4"/>
  <c r="R45" i="4"/>
  <c r="I44" i="2"/>
  <c r="H47" i="6"/>
  <c r="L44" i="5"/>
  <c r="W46" i="6"/>
  <c r="D46" i="6"/>
  <c r="C46" i="6"/>
  <c r="B46" i="6"/>
  <c r="E43" i="5"/>
  <c r="V43" i="5" s="1"/>
  <c r="E43" i="4"/>
  <c r="F43" i="4" s="1"/>
  <c r="E43" i="3"/>
  <c r="E43" i="2"/>
  <c r="T47" i="2" l="1"/>
  <c r="T50" i="6" s="1"/>
  <c r="U47" i="2"/>
  <c r="U50" i="6" s="1"/>
  <c r="L50" i="6"/>
  <c r="N50" i="6"/>
  <c r="R47" i="2"/>
  <c r="R50" i="6" s="1"/>
  <c r="Q47" i="2"/>
  <c r="Q50" i="6" s="1"/>
  <c r="P47" i="2"/>
  <c r="P50" i="6" s="1"/>
  <c r="S47" i="2"/>
  <c r="S50" i="6" s="1"/>
  <c r="M47" i="2"/>
  <c r="M50" i="6" s="1"/>
  <c r="O47" i="2"/>
  <c r="O50" i="6" s="1"/>
  <c r="T46" i="2"/>
  <c r="T49" i="6" s="1"/>
  <c r="N46" i="2"/>
  <c r="N49" i="6" s="1"/>
  <c r="U46" i="2"/>
  <c r="U49" i="6" s="1"/>
  <c r="L49" i="6"/>
  <c r="O46" i="2"/>
  <c r="O49" i="6" s="1"/>
  <c r="R46" i="2"/>
  <c r="R49" i="6" s="1"/>
  <c r="Q46" i="2"/>
  <c r="Q49" i="6" s="1"/>
  <c r="M46" i="2"/>
  <c r="M49" i="6" s="1"/>
  <c r="P46" i="2"/>
  <c r="P49" i="6" s="1"/>
  <c r="S46" i="2"/>
  <c r="S49" i="6" s="1"/>
  <c r="L45" i="2"/>
  <c r="J48" i="6"/>
  <c r="U44" i="5"/>
  <c r="T44" i="5"/>
  <c r="O44" i="5"/>
  <c r="S44" i="3"/>
  <c r="N44" i="3"/>
  <c r="U44" i="3"/>
  <c r="Q44" i="3"/>
  <c r="T44" i="3"/>
  <c r="M44" i="3"/>
  <c r="O44" i="3"/>
  <c r="P44" i="3"/>
  <c r="R44" i="3"/>
  <c r="I47" i="6"/>
  <c r="K44" i="2"/>
  <c r="K47" i="6" s="1"/>
  <c r="J44" i="2"/>
  <c r="M44" i="5"/>
  <c r="S44" i="5"/>
  <c r="R44" i="5"/>
  <c r="P44" i="5"/>
  <c r="Q44" i="5"/>
  <c r="Q44" i="4"/>
  <c r="O44" i="4"/>
  <c r="U44" i="4"/>
  <c r="M44" i="4"/>
  <c r="T44" i="4"/>
  <c r="S44" i="4"/>
  <c r="R44" i="4"/>
  <c r="P44" i="4"/>
  <c r="E46" i="6"/>
  <c r="G43" i="5"/>
  <c r="H43" i="5" s="1"/>
  <c r="I43" i="5" s="1"/>
  <c r="J43" i="5" s="1"/>
  <c r="F43" i="2"/>
  <c r="V43" i="4"/>
  <c r="G43" i="4"/>
  <c r="F43" i="3"/>
  <c r="V43" i="3"/>
  <c r="G43" i="3"/>
  <c r="V43" i="2"/>
  <c r="G43" i="2"/>
  <c r="U45" i="2" l="1"/>
  <c r="U48" i="6" s="1"/>
  <c r="T45" i="2"/>
  <c r="T48" i="6" s="1"/>
  <c r="L48" i="6"/>
  <c r="P45" i="2"/>
  <c r="P48" i="6" s="1"/>
  <c r="O45" i="2"/>
  <c r="O48" i="6" s="1"/>
  <c r="N45" i="2"/>
  <c r="N48" i="6" s="1"/>
  <c r="M45" i="2"/>
  <c r="M48" i="6" s="1"/>
  <c r="S45" i="2"/>
  <c r="S48" i="6" s="1"/>
  <c r="Q45" i="2"/>
  <c r="Q48" i="6" s="1"/>
  <c r="R45" i="2"/>
  <c r="R48" i="6" s="1"/>
  <c r="J47" i="6"/>
  <c r="L44" i="2"/>
  <c r="F46" i="6"/>
  <c r="H43" i="2"/>
  <c r="G46" i="6"/>
  <c r="V46" i="6"/>
  <c r="K43" i="5"/>
  <c r="H43" i="4"/>
  <c r="I43" i="4" s="1"/>
  <c r="K43" i="4" s="1"/>
  <c r="H43" i="3"/>
  <c r="I43" i="3" s="1"/>
  <c r="J43" i="3" s="1"/>
  <c r="W45" i="6"/>
  <c r="T44" i="2" l="1"/>
  <c r="T47" i="6" s="1"/>
  <c r="U44" i="2"/>
  <c r="L47" i="6"/>
  <c r="N44" i="2"/>
  <c r="N47" i="6" s="1"/>
  <c r="U47" i="6"/>
  <c r="R44" i="2"/>
  <c r="R47" i="6" s="1"/>
  <c r="P44" i="2"/>
  <c r="P47" i="6" s="1"/>
  <c r="O44" i="2"/>
  <c r="O47" i="6" s="1"/>
  <c r="Q44" i="2"/>
  <c r="Q47" i="6" s="1"/>
  <c r="M44" i="2"/>
  <c r="M47" i="6" s="1"/>
  <c r="S44" i="2"/>
  <c r="S47" i="6" s="1"/>
  <c r="J43" i="4"/>
  <c r="L43" i="4" s="1"/>
  <c r="K43" i="3"/>
  <c r="L43" i="3" s="1"/>
  <c r="N43" i="3" s="1"/>
  <c r="I43" i="2"/>
  <c r="H46" i="6"/>
  <c r="L43" i="5"/>
  <c r="D45" i="6"/>
  <c r="C45" i="6"/>
  <c r="B45" i="6"/>
  <c r="E42" i="5"/>
  <c r="E42" i="4"/>
  <c r="V42" i="4" s="1"/>
  <c r="E42" i="3"/>
  <c r="E42" i="2"/>
  <c r="U43" i="5" l="1"/>
  <c r="T43" i="5"/>
  <c r="O43" i="5"/>
  <c r="T43" i="4"/>
  <c r="N43" i="4"/>
  <c r="I46" i="6"/>
  <c r="K43" i="2"/>
  <c r="K46" i="6" s="1"/>
  <c r="J43" i="2"/>
  <c r="M43" i="5"/>
  <c r="P43" i="5"/>
  <c r="Q43" i="5"/>
  <c r="R43" i="5"/>
  <c r="S43" i="5"/>
  <c r="O43" i="4"/>
  <c r="U43" i="4"/>
  <c r="R43" i="4"/>
  <c r="P43" i="4"/>
  <c r="Q43" i="4"/>
  <c r="S43" i="4"/>
  <c r="M43" i="4"/>
  <c r="S43" i="3"/>
  <c r="M43" i="3"/>
  <c r="R43" i="3"/>
  <c r="U43" i="3"/>
  <c r="T43" i="3"/>
  <c r="Q43" i="3"/>
  <c r="P43" i="3"/>
  <c r="O43" i="3"/>
  <c r="V42" i="2"/>
  <c r="F42" i="2"/>
  <c r="V42" i="5"/>
  <c r="G42" i="5"/>
  <c r="H42" i="5" s="1"/>
  <c r="I42" i="5" s="1"/>
  <c r="J42" i="5" s="1"/>
  <c r="F42" i="4"/>
  <c r="E45" i="6"/>
  <c r="G42" i="4"/>
  <c r="F42" i="3"/>
  <c r="V42" i="3"/>
  <c r="G42" i="3"/>
  <c r="G42" i="2"/>
  <c r="W44" i="6"/>
  <c r="D44" i="6"/>
  <c r="C44" i="6"/>
  <c r="B44" i="6"/>
  <c r="E41" i="5"/>
  <c r="E41" i="4"/>
  <c r="E41" i="3"/>
  <c r="V41" i="3" s="1"/>
  <c r="E41" i="2"/>
  <c r="V41" i="2" s="1"/>
  <c r="J46" i="6" l="1"/>
  <c r="L43" i="2"/>
  <c r="V45" i="6"/>
  <c r="F45" i="6"/>
  <c r="H42" i="4"/>
  <c r="I42" i="4" s="1"/>
  <c r="J42" i="4" s="1"/>
  <c r="G45" i="6"/>
  <c r="H42" i="3"/>
  <c r="I42" i="3" s="1"/>
  <c r="J42" i="3" s="1"/>
  <c r="K42" i="5"/>
  <c r="V41" i="5"/>
  <c r="G41" i="5"/>
  <c r="H41" i="5" s="1"/>
  <c r="I41" i="5" s="1"/>
  <c r="V41" i="4"/>
  <c r="F41" i="4"/>
  <c r="H42" i="2"/>
  <c r="F41" i="3"/>
  <c r="E44" i="6"/>
  <c r="G41" i="4"/>
  <c r="G41" i="3"/>
  <c r="G41" i="2"/>
  <c r="F41" i="2"/>
  <c r="W43" i="6"/>
  <c r="D43" i="6"/>
  <c r="C43" i="6"/>
  <c r="B43" i="6"/>
  <c r="E40" i="5"/>
  <c r="E40" i="4"/>
  <c r="F40" i="4" s="1"/>
  <c r="E40" i="3"/>
  <c r="E40" i="2"/>
  <c r="V40" i="2" s="1"/>
  <c r="K42" i="4" l="1"/>
  <c r="L42" i="4" s="1"/>
  <c r="V44" i="6"/>
  <c r="U43" i="2"/>
  <c r="T43" i="2"/>
  <c r="T46" i="6" s="1"/>
  <c r="N43" i="2"/>
  <c r="N46" i="6" s="1"/>
  <c r="U46" i="6"/>
  <c r="L46" i="6"/>
  <c r="S43" i="2"/>
  <c r="S46" i="6" s="1"/>
  <c r="O43" i="2"/>
  <c r="O46" i="6" s="1"/>
  <c r="Q43" i="2"/>
  <c r="Q46" i="6" s="1"/>
  <c r="P43" i="2"/>
  <c r="P46" i="6" s="1"/>
  <c r="R43" i="2"/>
  <c r="R46" i="6" s="1"/>
  <c r="M43" i="2"/>
  <c r="M46" i="6" s="1"/>
  <c r="K42" i="3"/>
  <c r="L42" i="3" s="1"/>
  <c r="N42" i="3" s="1"/>
  <c r="I42" i="2"/>
  <c r="H45" i="6"/>
  <c r="L42" i="5"/>
  <c r="O42" i="5" s="1"/>
  <c r="F44" i="6"/>
  <c r="G44" i="6"/>
  <c r="V40" i="5"/>
  <c r="G40" i="5"/>
  <c r="H40" i="5" s="1"/>
  <c r="I40" i="5" s="1"/>
  <c r="K41" i="5"/>
  <c r="J41" i="5"/>
  <c r="H41" i="4"/>
  <c r="I41" i="4" s="1"/>
  <c r="J41" i="4" s="1"/>
  <c r="H41" i="3"/>
  <c r="I41" i="3" s="1"/>
  <c r="K41" i="3" s="1"/>
  <c r="V40" i="3"/>
  <c r="F40" i="3"/>
  <c r="H41" i="2"/>
  <c r="F40" i="2"/>
  <c r="E43" i="6"/>
  <c r="V40" i="4"/>
  <c r="G40" i="4"/>
  <c r="H40" i="4" s="1"/>
  <c r="I40" i="4" s="1"/>
  <c r="J40" i="4" s="1"/>
  <c r="G40" i="3"/>
  <c r="G40" i="2"/>
  <c r="W42" i="6"/>
  <c r="D42" i="6"/>
  <c r="C42" i="6"/>
  <c r="B42" i="6"/>
  <c r="E39" i="5"/>
  <c r="E39" i="4"/>
  <c r="V39" i="4" s="1"/>
  <c r="E39" i="3"/>
  <c r="E39" i="2"/>
  <c r="I45" i="6" l="1"/>
  <c r="J42" i="2"/>
  <c r="K42" i="2"/>
  <c r="K45" i="6" s="1"/>
  <c r="M42" i="5"/>
  <c r="U42" i="5"/>
  <c r="Q42" i="5"/>
  <c r="T42" i="5"/>
  <c r="S42" i="5"/>
  <c r="P42" i="5"/>
  <c r="R42" i="5"/>
  <c r="P42" i="4"/>
  <c r="O42" i="4"/>
  <c r="M42" i="4"/>
  <c r="S42" i="4"/>
  <c r="T42" i="4"/>
  <c r="U42" i="4"/>
  <c r="N42" i="4"/>
  <c r="Q42" i="4"/>
  <c r="R42" i="4"/>
  <c r="S42" i="3"/>
  <c r="R42" i="3"/>
  <c r="Q42" i="3"/>
  <c r="P42" i="3"/>
  <c r="O42" i="3"/>
  <c r="U42" i="3"/>
  <c r="M42" i="3"/>
  <c r="T42" i="3"/>
  <c r="I41" i="2"/>
  <c r="H44" i="6"/>
  <c r="L41" i="5"/>
  <c r="K41" i="4"/>
  <c r="L41" i="4" s="1"/>
  <c r="N41" i="4" s="1"/>
  <c r="J41" i="3"/>
  <c r="L41" i="3" s="1"/>
  <c r="N41" i="3" s="1"/>
  <c r="F43" i="6"/>
  <c r="V43" i="6"/>
  <c r="G43" i="6"/>
  <c r="H40" i="2"/>
  <c r="V39" i="5"/>
  <c r="K40" i="5"/>
  <c r="J40" i="5"/>
  <c r="K40" i="4"/>
  <c r="L40" i="4" s="1"/>
  <c r="N40" i="4" s="1"/>
  <c r="H40" i="3"/>
  <c r="I40" i="3" s="1"/>
  <c r="K40" i="3" s="1"/>
  <c r="V39" i="3"/>
  <c r="F39" i="3"/>
  <c r="V39" i="2"/>
  <c r="F39" i="2"/>
  <c r="G39" i="5"/>
  <c r="H39" i="5" s="1"/>
  <c r="I39" i="5" s="1"/>
  <c r="K39" i="5" s="1"/>
  <c r="F39" i="4"/>
  <c r="E42" i="6"/>
  <c r="G39" i="4"/>
  <c r="G39" i="3"/>
  <c r="G39" i="2"/>
  <c r="W41" i="6"/>
  <c r="D41" i="6"/>
  <c r="C41" i="6"/>
  <c r="B41" i="6"/>
  <c r="E38" i="5"/>
  <c r="G38" i="5" s="1"/>
  <c r="E38" i="4"/>
  <c r="E38" i="3"/>
  <c r="V38" i="3" s="1"/>
  <c r="E38" i="2"/>
  <c r="J45" i="6" l="1"/>
  <c r="L42" i="2"/>
  <c r="S41" i="5"/>
  <c r="O41" i="5"/>
  <c r="H39" i="3"/>
  <c r="I39" i="3" s="1"/>
  <c r="K39" i="3" s="1"/>
  <c r="V42" i="6"/>
  <c r="M41" i="5"/>
  <c r="P41" i="5"/>
  <c r="Q41" i="5"/>
  <c r="R41" i="5"/>
  <c r="T41" i="5"/>
  <c r="U41" i="5"/>
  <c r="R41" i="3"/>
  <c r="K41" i="2"/>
  <c r="K44" i="6" s="1"/>
  <c r="I44" i="6"/>
  <c r="J41" i="2"/>
  <c r="M41" i="4"/>
  <c r="P41" i="4"/>
  <c r="S41" i="4"/>
  <c r="O41" i="4"/>
  <c r="Q41" i="4"/>
  <c r="U41" i="4"/>
  <c r="R41" i="4"/>
  <c r="T41" i="4"/>
  <c r="O41" i="3"/>
  <c r="T41" i="3"/>
  <c r="S41" i="3"/>
  <c r="Q41" i="3"/>
  <c r="M41" i="3"/>
  <c r="U41" i="3"/>
  <c r="P41" i="3"/>
  <c r="I40" i="2"/>
  <c r="H43" i="6"/>
  <c r="L40" i="5"/>
  <c r="Q40" i="4"/>
  <c r="M40" i="4"/>
  <c r="S40" i="4"/>
  <c r="R40" i="4"/>
  <c r="P40" i="4"/>
  <c r="U40" i="4"/>
  <c r="T40" i="4"/>
  <c r="O40" i="4"/>
  <c r="J40" i="3"/>
  <c r="L40" i="3" s="1"/>
  <c r="N40" i="3" s="1"/>
  <c r="H39" i="4"/>
  <c r="I39" i="4" s="1"/>
  <c r="J39" i="4" s="1"/>
  <c r="G42" i="6"/>
  <c r="F42" i="6"/>
  <c r="J39" i="5"/>
  <c r="V38" i="4"/>
  <c r="F38" i="4"/>
  <c r="H39" i="2"/>
  <c r="V38" i="2"/>
  <c r="F38" i="2"/>
  <c r="F38" i="3"/>
  <c r="E41" i="6"/>
  <c r="H38" i="5"/>
  <c r="I38" i="5" s="1"/>
  <c r="J38" i="5" s="1"/>
  <c r="V38" i="5"/>
  <c r="G38" i="4"/>
  <c r="G38" i="3"/>
  <c r="G38" i="2"/>
  <c r="J39" i="3" l="1"/>
  <c r="L39" i="3" s="1"/>
  <c r="N39" i="3" s="1"/>
  <c r="T42" i="2"/>
  <c r="U42" i="2"/>
  <c r="U45" i="6" s="1"/>
  <c r="N42" i="2"/>
  <c r="N45" i="6" s="1"/>
  <c r="L45" i="6"/>
  <c r="T45" i="6"/>
  <c r="R42" i="2"/>
  <c r="R45" i="6" s="1"/>
  <c r="Q42" i="2"/>
  <c r="Q45" i="6" s="1"/>
  <c r="S42" i="2"/>
  <c r="S45" i="6" s="1"/>
  <c r="O42" i="2"/>
  <c r="O45" i="6" s="1"/>
  <c r="P42" i="2"/>
  <c r="P45" i="6" s="1"/>
  <c r="M42" i="2"/>
  <c r="M45" i="6" s="1"/>
  <c r="J44" i="6"/>
  <c r="L41" i="2"/>
  <c r="U40" i="5"/>
  <c r="T40" i="5"/>
  <c r="O40" i="5"/>
  <c r="I43" i="6"/>
  <c r="K40" i="2"/>
  <c r="K43" i="6" s="1"/>
  <c r="J40" i="2"/>
  <c r="S40" i="5"/>
  <c r="Q40" i="5"/>
  <c r="R40" i="5"/>
  <c r="M40" i="5"/>
  <c r="P40" i="5"/>
  <c r="K39" i="4"/>
  <c r="L39" i="4" s="1"/>
  <c r="N39" i="4" s="1"/>
  <c r="O40" i="3"/>
  <c r="U40" i="3"/>
  <c r="M40" i="3"/>
  <c r="T40" i="3"/>
  <c r="S40" i="3"/>
  <c r="P40" i="3"/>
  <c r="R40" i="3"/>
  <c r="Q40" i="3"/>
  <c r="V41" i="6"/>
  <c r="I39" i="2"/>
  <c r="H42" i="6"/>
  <c r="L39" i="5"/>
  <c r="F41" i="6"/>
  <c r="H38" i="3"/>
  <c r="I38" i="3" s="1"/>
  <c r="J38" i="3" s="1"/>
  <c r="H38" i="4"/>
  <c r="I38" i="4" s="1"/>
  <c r="J38" i="4" s="1"/>
  <c r="G41" i="6"/>
  <c r="H38" i="2"/>
  <c r="K38" i="5"/>
  <c r="P39" i="3" l="1"/>
  <c r="O39" i="3"/>
  <c r="R39" i="3"/>
  <c r="S39" i="3"/>
  <c r="T39" i="3"/>
  <c r="M39" i="3"/>
  <c r="U39" i="3"/>
  <c r="Q39" i="3"/>
  <c r="T41" i="2"/>
  <c r="T44" i="6" s="1"/>
  <c r="N41" i="2"/>
  <c r="N44" i="6" s="1"/>
  <c r="U41" i="2"/>
  <c r="U44" i="6" s="1"/>
  <c r="L44" i="6"/>
  <c r="S41" i="2"/>
  <c r="S44" i="6" s="1"/>
  <c r="M41" i="2"/>
  <c r="M44" i="6" s="1"/>
  <c r="R41" i="2"/>
  <c r="R44" i="6" s="1"/>
  <c r="O41" i="2"/>
  <c r="O44" i="6" s="1"/>
  <c r="Q41" i="2"/>
  <c r="Q44" i="6" s="1"/>
  <c r="P41" i="2"/>
  <c r="P44" i="6" s="1"/>
  <c r="L40" i="2"/>
  <c r="N40" i="2" s="1"/>
  <c r="J43" i="6"/>
  <c r="U39" i="5"/>
  <c r="T39" i="5"/>
  <c r="O39" i="5"/>
  <c r="K38" i="3"/>
  <c r="L38" i="3" s="1"/>
  <c r="N38" i="3" s="1"/>
  <c r="K39" i="2"/>
  <c r="K42" i="6" s="1"/>
  <c r="I42" i="6"/>
  <c r="J39" i="2"/>
  <c r="M39" i="5"/>
  <c r="S39" i="5"/>
  <c r="P39" i="5"/>
  <c r="R39" i="5"/>
  <c r="Q39" i="5"/>
  <c r="M39" i="4"/>
  <c r="U39" i="4"/>
  <c r="Q39" i="4"/>
  <c r="T39" i="4"/>
  <c r="S39" i="4"/>
  <c r="R39" i="4"/>
  <c r="P39" i="4"/>
  <c r="O39" i="4"/>
  <c r="K38" i="4"/>
  <c r="L38" i="4" s="1"/>
  <c r="N38" i="4" s="1"/>
  <c r="I38" i="2"/>
  <c r="H41" i="6"/>
  <c r="L38" i="5"/>
  <c r="L43" i="6" l="1"/>
  <c r="T40" i="2"/>
  <c r="T43" i="6" s="1"/>
  <c r="N43" i="6"/>
  <c r="Q40" i="2"/>
  <c r="Q43" i="6" s="1"/>
  <c r="S40" i="2"/>
  <c r="S43" i="6" s="1"/>
  <c r="P40" i="2"/>
  <c r="P43" i="6" s="1"/>
  <c r="R40" i="2"/>
  <c r="R43" i="6" s="1"/>
  <c r="O40" i="2"/>
  <c r="O43" i="6" s="1"/>
  <c r="U40" i="2"/>
  <c r="U43" i="6" s="1"/>
  <c r="M40" i="2"/>
  <c r="M43" i="6" s="1"/>
  <c r="J42" i="6"/>
  <c r="L39" i="2"/>
  <c r="T38" i="5"/>
  <c r="O38" i="5"/>
  <c r="U38" i="5"/>
  <c r="S38" i="5"/>
  <c r="Q38" i="4"/>
  <c r="R38" i="4"/>
  <c r="O38" i="4"/>
  <c r="T38" i="4"/>
  <c r="S38" i="4"/>
  <c r="P38" i="4"/>
  <c r="U38" i="4"/>
  <c r="M38" i="4"/>
  <c r="I41" i="6"/>
  <c r="J38" i="2"/>
  <c r="K38" i="2"/>
  <c r="K41" i="6" s="1"/>
  <c r="M38" i="5"/>
  <c r="P38" i="5"/>
  <c r="Q38" i="5"/>
  <c r="R38" i="5"/>
  <c r="U38" i="3"/>
  <c r="M38" i="3"/>
  <c r="T38" i="3"/>
  <c r="S38" i="3"/>
  <c r="R38" i="3"/>
  <c r="Q38" i="3"/>
  <c r="P38" i="3"/>
  <c r="O38" i="3"/>
  <c r="N39" i="2" l="1"/>
  <c r="N42" i="6" s="1"/>
  <c r="T39" i="2"/>
  <c r="T42" i="6" s="1"/>
  <c r="L42" i="6"/>
  <c r="U39" i="2"/>
  <c r="U42" i="6" s="1"/>
  <c r="R39" i="2"/>
  <c r="R42" i="6" s="1"/>
  <c r="Q39" i="2"/>
  <c r="Q42" i="6" s="1"/>
  <c r="P39" i="2"/>
  <c r="P42" i="6" s="1"/>
  <c r="S39" i="2"/>
  <c r="S42" i="6" s="1"/>
  <c r="O39" i="2"/>
  <c r="O42" i="6" s="1"/>
  <c r="M39" i="2"/>
  <c r="M42" i="6" s="1"/>
  <c r="J41" i="6"/>
  <c r="L38" i="2"/>
  <c r="W40" i="6"/>
  <c r="D40" i="6"/>
  <c r="C40" i="6"/>
  <c r="B40" i="6"/>
  <c r="E37" i="5"/>
  <c r="V37" i="5" s="1"/>
  <c r="E37" i="4"/>
  <c r="F37" i="4" s="1"/>
  <c r="E37" i="3"/>
  <c r="E37" i="2"/>
  <c r="F37" i="2" s="1"/>
  <c r="T38" i="2" l="1"/>
  <c r="T41" i="6" s="1"/>
  <c r="N38" i="2"/>
  <c r="N41" i="6" s="1"/>
  <c r="U38" i="2"/>
  <c r="U41" i="6" s="1"/>
  <c r="L41" i="6"/>
  <c r="S38" i="2"/>
  <c r="S41" i="6" s="1"/>
  <c r="Q38" i="2"/>
  <c r="Q41" i="6" s="1"/>
  <c r="P38" i="2"/>
  <c r="P41" i="6" s="1"/>
  <c r="R38" i="2"/>
  <c r="R41" i="6" s="1"/>
  <c r="O38" i="2"/>
  <c r="O41" i="6" s="1"/>
  <c r="M38" i="2"/>
  <c r="M41" i="6" s="1"/>
  <c r="V37" i="3"/>
  <c r="F37" i="3"/>
  <c r="G37" i="5"/>
  <c r="H37" i="5" s="1"/>
  <c r="V37" i="2"/>
  <c r="E40" i="6"/>
  <c r="G37" i="4"/>
  <c r="H37" i="4" s="1"/>
  <c r="I37" i="4" s="1"/>
  <c r="V37" i="4"/>
  <c r="G37" i="3"/>
  <c r="G37" i="2"/>
  <c r="W39" i="6"/>
  <c r="D39" i="6"/>
  <c r="C39" i="6"/>
  <c r="B39" i="6"/>
  <c r="E36" i="5"/>
  <c r="E36" i="4"/>
  <c r="V36" i="4" s="1"/>
  <c r="E36" i="3"/>
  <c r="E36" i="2"/>
  <c r="V36" i="2" s="1"/>
  <c r="W38" i="6"/>
  <c r="D38" i="6"/>
  <c r="C38" i="6"/>
  <c r="B38" i="6"/>
  <c r="E35" i="5"/>
  <c r="V35" i="5" s="1"/>
  <c r="E35" i="4"/>
  <c r="V35" i="4" s="1"/>
  <c r="E35" i="3"/>
  <c r="V35" i="3" s="1"/>
  <c r="H37" i="3" l="1"/>
  <c r="I37" i="3" s="1"/>
  <c r="K37" i="3" s="1"/>
  <c r="I37" i="5"/>
  <c r="J37" i="5" s="1"/>
  <c r="V40" i="6"/>
  <c r="G40" i="6"/>
  <c r="H37" i="2"/>
  <c r="F40" i="6"/>
  <c r="V36" i="5"/>
  <c r="G36" i="5"/>
  <c r="H36" i="5" s="1"/>
  <c r="I36" i="5" s="1"/>
  <c r="K37" i="4"/>
  <c r="J37" i="4"/>
  <c r="V36" i="3"/>
  <c r="F36" i="3"/>
  <c r="E39" i="6"/>
  <c r="G35" i="5"/>
  <c r="H35" i="5" s="1"/>
  <c r="I35" i="5" s="1"/>
  <c r="G36" i="4"/>
  <c r="F36" i="4"/>
  <c r="G36" i="3"/>
  <c r="F36" i="2"/>
  <c r="G36" i="2"/>
  <c r="G35" i="4"/>
  <c r="F35" i="4"/>
  <c r="G35" i="3"/>
  <c r="F35" i="3"/>
  <c r="V39" i="6" l="1"/>
  <c r="K37" i="5"/>
  <c r="L37" i="5" s="1"/>
  <c r="S37" i="5" s="1"/>
  <c r="H35" i="3"/>
  <c r="I35" i="3" s="1"/>
  <c r="K35" i="3" s="1"/>
  <c r="J37" i="3"/>
  <c r="L37" i="3" s="1"/>
  <c r="L37" i="4"/>
  <c r="N37" i="4" s="1"/>
  <c r="H36" i="3"/>
  <c r="I36" i="3" s="1"/>
  <c r="K36" i="3" s="1"/>
  <c r="I37" i="2"/>
  <c r="H40" i="6"/>
  <c r="F39" i="6"/>
  <c r="H36" i="2"/>
  <c r="G39" i="6"/>
  <c r="J36" i="5"/>
  <c r="K36" i="5"/>
  <c r="H36" i="4"/>
  <c r="I36" i="4" s="1"/>
  <c r="K36" i="4" s="1"/>
  <c r="H35" i="4"/>
  <c r="I35" i="4" s="1"/>
  <c r="K35" i="4" s="1"/>
  <c r="K35" i="5"/>
  <c r="J35" i="5"/>
  <c r="J35" i="3" l="1"/>
  <c r="M37" i="5"/>
  <c r="P37" i="4"/>
  <c r="R37" i="4"/>
  <c r="O37" i="4"/>
  <c r="S37" i="4"/>
  <c r="Q37" i="5"/>
  <c r="P37" i="5"/>
  <c r="U37" i="4"/>
  <c r="M37" i="4"/>
  <c r="R37" i="5"/>
  <c r="T37" i="4"/>
  <c r="Q37" i="4"/>
  <c r="N37" i="3"/>
  <c r="Q37" i="3"/>
  <c r="P37" i="3"/>
  <c r="S37" i="3"/>
  <c r="O37" i="3"/>
  <c r="U37" i="3"/>
  <c r="M37" i="3"/>
  <c r="R37" i="3"/>
  <c r="T37" i="3"/>
  <c r="J36" i="3"/>
  <c r="L36" i="3" s="1"/>
  <c r="N36" i="3" s="1"/>
  <c r="U37" i="5"/>
  <c r="T37" i="5"/>
  <c r="O37" i="5"/>
  <c r="I40" i="6"/>
  <c r="K37" i="2"/>
  <c r="K40" i="6" s="1"/>
  <c r="J37" i="2"/>
  <c r="I36" i="2"/>
  <c r="H39" i="6"/>
  <c r="L36" i="5"/>
  <c r="O36" i="5" s="1"/>
  <c r="J36" i="4"/>
  <c r="L36" i="4" s="1"/>
  <c r="N36" i="4" s="1"/>
  <c r="J35" i="4"/>
  <c r="L35" i="4" s="1"/>
  <c r="N35" i="4" s="1"/>
  <c r="L35" i="5"/>
  <c r="L35" i="3"/>
  <c r="N35" i="3" s="1"/>
  <c r="J40" i="6" l="1"/>
  <c r="L37" i="2"/>
  <c r="R36" i="3"/>
  <c r="S36" i="3"/>
  <c r="S36" i="5"/>
  <c r="T36" i="5"/>
  <c r="U36" i="5"/>
  <c r="U36" i="4"/>
  <c r="T36" i="3"/>
  <c r="P36" i="3"/>
  <c r="M36" i="3"/>
  <c r="U36" i="3"/>
  <c r="Q36" i="3"/>
  <c r="O36" i="3"/>
  <c r="I39" i="6"/>
  <c r="K36" i="2"/>
  <c r="K39" i="6" s="1"/>
  <c r="J36" i="2"/>
  <c r="P36" i="5"/>
  <c r="M36" i="5"/>
  <c r="Q36" i="5"/>
  <c r="R36" i="5"/>
  <c r="U35" i="5"/>
  <c r="T35" i="5"/>
  <c r="O35" i="5"/>
  <c r="T36" i="4"/>
  <c r="O36" i="4"/>
  <c r="P36" i="4"/>
  <c r="Q36" i="4"/>
  <c r="R36" i="4"/>
  <c r="S36" i="4"/>
  <c r="M36" i="4"/>
  <c r="M35" i="5"/>
  <c r="S35" i="5"/>
  <c r="P35" i="5"/>
  <c r="Q35" i="5"/>
  <c r="R35" i="5"/>
  <c r="R35" i="4"/>
  <c r="T35" i="4"/>
  <c r="Q35" i="4"/>
  <c r="S35" i="4"/>
  <c r="M35" i="4"/>
  <c r="U35" i="4"/>
  <c r="O35" i="4"/>
  <c r="P35" i="4"/>
  <c r="R35" i="3"/>
  <c r="Q35" i="3"/>
  <c r="O35" i="3"/>
  <c r="S35" i="3"/>
  <c r="T35" i="3"/>
  <c r="M35" i="3"/>
  <c r="U35" i="3"/>
  <c r="P35" i="3"/>
  <c r="U37" i="2" l="1"/>
  <c r="U40" i="6" s="1"/>
  <c r="T37" i="2"/>
  <c r="T40" i="6" s="1"/>
  <c r="N37" i="2"/>
  <c r="N40" i="6" s="1"/>
  <c r="L40" i="6"/>
  <c r="M37" i="2"/>
  <c r="M40" i="6" s="1"/>
  <c r="S37" i="2"/>
  <c r="S40" i="6" s="1"/>
  <c r="O37" i="2"/>
  <c r="O40" i="6" s="1"/>
  <c r="R37" i="2"/>
  <c r="R40" i="6" s="1"/>
  <c r="Q37" i="2"/>
  <c r="Q40" i="6" s="1"/>
  <c r="P37" i="2"/>
  <c r="P40" i="6" s="1"/>
  <c r="J39" i="6"/>
  <c r="L36" i="2"/>
  <c r="E35" i="2"/>
  <c r="U36" i="2" l="1"/>
  <c r="U39" i="6" s="1"/>
  <c r="T36" i="2"/>
  <c r="T39" i="6" s="1"/>
  <c r="N36" i="2"/>
  <c r="N39" i="6" s="1"/>
  <c r="M36" i="2"/>
  <c r="M39" i="6" s="1"/>
  <c r="L39" i="6"/>
  <c r="O36" i="2"/>
  <c r="O39" i="6" s="1"/>
  <c r="P36" i="2"/>
  <c r="P39" i="6" s="1"/>
  <c r="Q36" i="2"/>
  <c r="Q39" i="6" s="1"/>
  <c r="S36" i="2"/>
  <c r="S39" i="6" s="1"/>
  <c r="R36" i="2"/>
  <c r="R39" i="6" s="1"/>
  <c r="V35" i="2"/>
  <c r="V38" i="6" s="1"/>
  <c r="E38" i="6"/>
  <c r="F35" i="2"/>
  <c r="F38" i="6" s="1"/>
  <c r="G35" i="2"/>
  <c r="G38" i="6" s="1"/>
  <c r="H35" i="2" l="1"/>
  <c r="I35" i="2" l="1"/>
  <c r="H38" i="6"/>
  <c r="W37" i="6"/>
  <c r="D37" i="6"/>
  <c r="C37" i="6"/>
  <c r="B37" i="6"/>
  <c r="E34" i="5"/>
  <c r="V34" i="5" s="1"/>
  <c r="E34" i="4"/>
  <c r="V34" i="4" s="1"/>
  <c r="E34" i="3"/>
  <c r="F34" i="3" s="1"/>
  <c r="E34" i="2"/>
  <c r="F34" i="2" s="1"/>
  <c r="K35" i="2" l="1"/>
  <c r="K38" i="6" s="1"/>
  <c r="I38" i="6"/>
  <c r="J35" i="2"/>
  <c r="E37" i="6"/>
  <c r="G34" i="5"/>
  <c r="H34" i="5" s="1"/>
  <c r="G34" i="4"/>
  <c r="F34" i="4"/>
  <c r="F37" i="6" s="1"/>
  <c r="V34" i="3"/>
  <c r="G34" i="3"/>
  <c r="H34" i="3" s="1"/>
  <c r="I34" i="3" s="1"/>
  <c r="V34" i="2"/>
  <c r="G34" i="2"/>
  <c r="J33" i="5"/>
  <c r="J38" i="6" l="1"/>
  <c r="L35" i="2"/>
  <c r="I34" i="5"/>
  <c r="G37" i="6"/>
  <c r="V37" i="6"/>
  <c r="H34" i="4"/>
  <c r="I34" i="4" s="1"/>
  <c r="K34" i="4" s="1"/>
  <c r="K34" i="3"/>
  <c r="J34" i="3"/>
  <c r="H34" i="2"/>
  <c r="U35" i="2" l="1"/>
  <c r="U38" i="6" s="1"/>
  <c r="T35" i="2"/>
  <c r="T38" i="6" s="1"/>
  <c r="N35" i="2"/>
  <c r="N38" i="6" s="1"/>
  <c r="L38" i="6"/>
  <c r="O35" i="2"/>
  <c r="O38" i="6" s="1"/>
  <c r="M35" i="2"/>
  <c r="M38" i="6" s="1"/>
  <c r="S35" i="2"/>
  <c r="S38" i="6" s="1"/>
  <c r="P35" i="2"/>
  <c r="P38" i="6" s="1"/>
  <c r="R35" i="2"/>
  <c r="R38" i="6" s="1"/>
  <c r="Q35" i="2"/>
  <c r="Q38" i="6" s="1"/>
  <c r="K34" i="5"/>
  <c r="J34" i="5"/>
  <c r="J34" i="4"/>
  <c r="L34" i="4" s="1"/>
  <c r="N34" i="4" s="1"/>
  <c r="L34" i="3"/>
  <c r="U34" i="3" s="1"/>
  <c r="I34" i="2"/>
  <c r="K34" i="2" s="1"/>
  <c r="H37" i="6"/>
  <c r="W36" i="6"/>
  <c r="D36" i="6"/>
  <c r="C36" i="6"/>
  <c r="B36" i="6"/>
  <c r="E33" i="5"/>
  <c r="E33" i="4"/>
  <c r="E33" i="3"/>
  <c r="E33" i="2"/>
  <c r="F33" i="2" s="1"/>
  <c r="L34" i="5" l="1"/>
  <c r="R34" i="5" s="1"/>
  <c r="K37" i="6"/>
  <c r="O34" i="3"/>
  <c r="S34" i="3"/>
  <c r="M34" i="3"/>
  <c r="T34" i="3"/>
  <c r="Q34" i="3"/>
  <c r="N34" i="3"/>
  <c r="P34" i="3"/>
  <c r="R34" i="3"/>
  <c r="O34" i="4"/>
  <c r="J34" i="2"/>
  <c r="I37" i="6"/>
  <c r="V33" i="5"/>
  <c r="G33" i="5"/>
  <c r="H33" i="5" s="1"/>
  <c r="R34" i="4"/>
  <c r="P34" i="4"/>
  <c r="S34" i="4"/>
  <c r="T34" i="4"/>
  <c r="M34" i="4"/>
  <c r="U34" i="4"/>
  <c r="Q34" i="4"/>
  <c r="E36" i="6"/>
  <c r="F33" i="4"/>
  <c r="V33" i="4"/>
  <c r="G33" i="4"/>
  <c r="G33" i="3"/>
  <c r="F33" i="3"/>
  <c r="V33" i="3"/>
  <c r="G33" i="2"/>
  <c r="V33" i="2"/>
  <c r="W35" i="6"/>
  <c r="D35" i="6"/>
  <c r="C35" i="6"/>
  <c r="B35" i="6"/>
  <c r="E32" i="5"/>
  <c r="V32" i="5" s="1"/>
  <c r="E32" i="4"/>
  <c r="F32" i="4" s="1"/>
  <c r="E32" i="3"/>
  <c r="V32" i="3" s="1"/>
  <c r="E32" i="2"/>
  <c r="U34" i="5" l="1"/>
  <c r="P34" i="5"/>
  <c r="S34" i="5"/>
  <c r="Q34" i="5"/>
  <c r="O34" i="5"/>
  <c r="M34" i="5"/>
  <c r="T34" i="5"/>
  <c r="H33" i="3"/>
  <c r="I33" i="3" s="1"/>
  <c r="J33" i="3" s="1"/>
  <c r="J37" i="6"/>
  <c r="L34" i="2"/>
  <c r="V36" i="6"/>
  <c r="G36" i="6"/>
  <c r="F36" i="6"/>
  <c r="K33" i="5"/>
  <c r="H33" i="4"/>
  <c r="I33" i="4" s="1"/>
  <c r="K33" i="4" s="1"/>
  <c r="H33" i="2"/>
  <c r="G32" i="2"/>
  <c r="F32" i="2"/>
  <c r="E35" i="6"/>
  <c r="G32" i="4"/>
  <c r="H32" i="4" s="1"/>
  <c r="I32" i="4" s="1"/>
  <c r="V32" i="4"/>
  <c r="F32" i="3"/>
  <c r="G32" i="3"/>
  <c r="V32" i="2"/>
  <c r="K33" i="3" l="1"/>
  <c r="L33" i="3" s="1"/>
  <c r="M33" i="3" s="1"/>
  <c r="N34" i="2"/>
  <c r="N37" i="6" s="1"/>
  <c r="T34" i="2"/>
  <c r="T37" i="6" s="1"/>
  <c r="U34" i="2"/>
  <c r="U37" i="6" s="1"/>
  <c r="L37" i="6"/>
  <c r="Q34" i="2"/>
  <c r="Q37" i="6" s="1"/>
  <c r="P34" i="2"/>
  <c r="P37" i="6" s="1"/>
  <c r="M34" i="2"/>
  <c r="M37" i="6" s="1"/>
  <c r="S34" i="2"/>
  <c r="S37" i="6" s="1"/>
  <c r="R34" i="2"/>
  <c r="R37" i="6" s="1"/>
  <c r="O34" i="2"/>
  <c r="O37" i="6" s="1"/>
  <c r="I33" i="2"/>
  <c r="K33" i="2" s="1"/>
  <c r="H36" i="6"/>
  <c r="L33" i="5"/>
  <c r="R33" i="5" s="1"/>
  <c r="J33" i="4"/>
  <c r="L33" i="4" s="1"/>
  <c r="F35" i="6"/>
  <c r="H32" i="5"/>
  <c r="I32" i="5" s="1"/>
  <c r="K32" i="5" s="1"/>
  <c r="G35" i="6"/>
  <c r="H32" i="2"/>
  <c r="V35" i="6"/>
  <c r="K32" i="4"/>
  <c r="J32" i="4"/>
  <c r="H32" i="3"/>
  <c r="I32" i="3" s="1"/>
  <c r="K32" i="3" s="1"/>
  <c r="W34" i="6"/>
  <c r="D34" i="6"/>
  <c r="C34" i="6"/>
  <c r="B34" i="6"/>
  <c r="E31" i="5"/>
  <c r="E31" i="4"/>
  <c r="G31" i="4" s="1"/>
  <c r="E31" i="3"/>
  <c r="V31" i="3" s="1"/>
  <c r="E31" i="2"/>
  <c r="F31" i="2" s="1"/>
  <c r="M33" i="4" l="1"/>
  <c r="N33" i="4"/>
  <c r="P33" i="4"/>
  <c r="O33" i="4"/>
  <c r="S33" i="4"/>
  <c r="T33" i="3"/>
  <c r="N33" i="3"/>
  <c r="K36" i="6"/>
  <c r="J33" i="2"/>
  <c r="J36" i="6" s="1"/>
  <c r="I36" i="6"/>
  <c r="T33" i="5"/>
  <c r="S33" i="5"/>
  <c r="U33" i="5"/>
  <c r="T33" i="4"/>
  <c r="U33" i="4"/>
  <c r="Q33" i="4"/>
  <c r="R33" i="4"/>
  <c r="O33" i="3"/>
  <c r="P33" i="3"/>
  <c r="R33" i="3"/>
  <c r="S33" i="3"/>
  <c r="U33" i="3"/>
  <c r="Q33" i="3"/>
  <c r="J32" i="5"/>
  <c r="L32" i="5" s="1"/>
  <c r="O32" i="5" s="1"/>
  <c r="J32" i="3"/>
  <c r="L32" i="3" s="1"/>
  <c r="I32" i="2"/>
  <c r="H35" i="6"/>
  <c r="V31" i="5"/>
  <c r="F31" i="5"/>
  <c r="L32" i="4"/>
  <c r="R32" i="4" s="1"/>
  <c r="F31" i="4"/>
  <c r="H31" i="4" s="1"/>
  <c r="I31" i="4" s="1"/>
  <c r="E34" i="6"/>
  <c r="G31" i="5"/>
  <c r="V31" i="4"/>
  <c r="G31" i="3"/>
  <c r="F31" i="3"/>
  <c r="V31" i="2"/>
  <c r="G31" i="2"/>
  <c r="W33" i="6"/>
  <c r="D33" i="6"/>
  <c r="C33" i="6"/>
  <c r="B33" i="6"/>
  <c r="E30" i="5"/>
  <c r="E30" i="4"/>
  <c r="E30" i="3"/>
  <c r="V30" i="3" s="1"/>
  <c r="E30" i="2"/>
  <c r="L33" i="2" l="1"/>
  <c r="N33" i="2" s="1"/>
  <c r="S32" i="3"/>
  <c r="U32" i="3"/>
  <c r="T32" i="3"/>
  <c r="N32" i="3"/>
  <c r="T32" i="5"/>
  <c r="U32" i="5"/>
  <c r="N32" i="5"/>
  <c r="T32" i="4"/>
  <c r="P32" i="4"/>
  <c r="S32" i="4"/>
  <c r="N32" i="4"/>
  <c r="I35" i="6"/>
  <c r="K32" i="2"/>
  <c r="K35" i="6" s="1"/>
  <c r="J32" i="2"/>
  <c r="Q32" i="5"/>
  <c r="M32" i="5"/>
  <c r="R32" i="5"/>
  <c r="S32" i="5"/>
  <c r="P32" i="5"/>
  <c r="Q32" i="4"/>
  <c r="O32" i="4"/>
  <c r="M32" i="4"/>
  <c r="U32" i="4"/>
  <c r="M32" i="3"/>
  <c r="P32" i="3"/>
  <c r="O32" i="3"/>
  <c r="Q32" i="3"/>
  <c r="R32" i="3"/>
  <c r="H31" i="3"/>
  <c r="I31" i="3" s="1"/>
  <c r="J31" i="3" s="1"/>
  <c r="V34" i="6"/>
  <c r="G34" i="6"/>
  <c r="F34" i="6"/>
  <c r="H31" i="5"/>
  <c r="I31" i="5" s="1"/>
  <c r="K31" i="5" s="1"/>
  <c r="V30" i="5"/>
  <c r="F30" i="5"/>
  <c r="V30" i="4"/>
  <c r="F30" i="4"/>
  <c r="K31" i="4"/>
  <c r="J31" i="4"/>
  <c r="H31" i="2"/>
  <c r="V30" i="2"/>
  <c r="F30" i="2"/>
  <c r="F30" i="3"/>
  <c r="E33" i="6"/>
  <c r="G30" i="5"/>
  <c r="G30" i="4"/>
  <c r="G30" i="3"/>
  <c r="G30" i="2"/>
  <c r="W32" i="6"/>
  <c r="D32" i="6"/>
  <c r="C32" i="6"/>
  <c r="B32" i="6"/>
  <c r="E29" i="5"/>
  <c r="V29" i="5" s="1"/>
  <c r="E29" i="4"/>
  <c r="F29" i="4" s="1"/>
  <c r="E29" i="3"/>
  <c r="E29" i="2"/>
  <c r="V29" i="2" s="1"/>
  <c r="K31" i="3" l="1"/>
  <c r="L31" i="3" s="1"/>
  <c r="R31" i="3" s="1"/>
  <c r="N36" i="6"/>
  <c r="L36" i="6"/>
  <c r="R33" i="2"/>
  <c r="R36" i="6" s="1"/>
  <c r="Q33" i="2"/>
  <c r="Q36" i="6" s="1"/>
  <c r="M33" i="2"/>
  <c r="M36" i="6" s="1"/>
  <c r="P33" i="2"/>
  <c r="P36" i="6" s="1"/>
  <c r="O33" i="2"/>
  <c r="O36" i="6" s="1"/>
  <c r="U33" i="2"/>
  <c r="U36" i="6" s="1"/>
  <c r="T33" i="2"/>
  <c r="T36" i="6" s="1"/>
  <c r="S33" i="2"/>
  <c r="S36" i="6" s="1"/>
  <c r="H30" i="5"/>
  <c r="I30" i="5" s="1"/>
  <c r="K30" i="5" s="1"/>
  <c r="J35" i="6"/>
  <c r="L32" i="2"/>
  <c r="V33" i="6"/>
  <c r="I31" i="2"/>
  <c r="J31" i="2" s="1"/>
  <c r="H34" i="6"/>
  <c r="J31" i="5"/>
  <c r="L31" i="5" s="1"/>
  <c r="N31" i="5" s="1"/>
  <c r="L31" i="4"/>
  <c r="F33" i="6"/>
  <c r="G33" i="6"/>
  <c r="H30" i="4"/>
  <c r="I30" i="4" s="1"/>
  <c r="J30" i="4" s="1"/>
  <c r="H30" i="3"/>
  <c r="I30" i="3" s="1"/>
  <c r="K30" i="3" s="1"/>
  <c r="V29" i="3"/>
  <c r="F29" i="3"/>
  <c r="H30" i="2"/>
  <c r="F29" i="2"/>
  <c r="E32" i="6"/>
  <c r="F29" i="5"/>
  <c r="G29" i="5"/>
  <c r="G29" i="4"/>
  <c r="H29" i="4" s="1"/>
  <c r="I29" i="4" s="1"/>
  <c r="V29" i="4"/>
  <c r="G29" i="3"/>
  <c r="G29" i="2"/>
  <c r="B31" i="6"/>
  <c r="C31" i="6"/>
  <c r="D31" i="6"/>
  <c r="J30" i="5" l="1"/>
  <c r="L30" i="5" s="1"/>
  <c r="N30" i="5" s="1"/>
  <c r="V32" i="6"/>
  <c r="T32" i="2"/>
  <c r="T35" i="6" s="1"/>
  <c r="N32" i="2"/>
  <c r="N35" i="6" s="1"/>
  <c r="U32" i="2"/>
  <c r="U35" i="6" s="1"/>
  <c r="L35" i="6"/>
  <c r="S32" i="2"/>
  <c r="S35" i="6" s="1"/>
  <c r="P32" i="2"/>
  <c r="P35" i="6" s="1"/>
  <c r="M32" i="2"/>
  <c r="M35" i="6" s="1"/>
  <c r="O32" i="2"/>
  <c r="O35" i="6" s="1"/>
  <c r="R32" i="2"/>
  <c r="R35" i="6" s="1"/>
  <c r="Q32" i="2"/>
  <c r="Q35" i="6" s="1"/>
  <c r="U31" i="4"/>
  <c r="T31" i="4"/>
  <c r="N31" i="4"/>
  <c r="J34" i="6"/>
  <c r="R31" i="5"/>
  <c r="N31" i="3"/>
  <c r="K31" i="2"/>
  <c r="K34" i="6" s="1"/>
  <c r="I34" i="6"/>
  <c r="T31" i="5"/>
  <c r="M31" i="5"/>
  <c r="Q31" i="5"/>
  <c r="S31" i="5"/>
  <c r="O31" i="5"/>
  <c r="U31" i="5"/>
  <c r="P31" i="5"/>
  <c r="S31" i="4"/>
  <c r="R31" i="4"/>
  <c r="Q31" i="4"/>
  <c r="O31" i="4"/>
  <c r="P31" i="4"/>
  <c r="M31" i="4"/>
  <c r="Q31" i="3"/>
  <c r="S31" i="3"/>
  <c r="O31" i="3"/>
  <c r="P31" i="3"/>
  <c r="M31" i="3"/>
  <c r="J30" i="3"/>
  <c r="L30" i="3" s="1"/>
  <c r="I30" i="2"/>
  <c r="K30" i="2" s="1"/>
  <c r="H33" i="6"/>
  <c r="K30" i="4"/>
  <c r="L30" i="4" s="1"/>
  <c r="H29" i="5"/>
  <c r="I29" i="5" s="1"/>
  <c r="K29" i="5" s="1"/>
  <c r="H29" i="3"/>
  <c r="I29" i="3" s="1"/>
  <c r="K29" i="3" s="1"/>
  <c r="G32" i="6"/>
  <c r="F32" i="6"/>
  <c r="K29" i="4"/>
  <c r="J29" i="4"/>
  <c r="H29" i="2"/>
  <c r="W31" i="6"/>
  <c r="E28" i="5"/>
  <c r="G28" i="5" s="1"/>
  <c r="E28" i="4"/>
  <c r="E28" i="3"/>
  <c r="V28" i="3" s="1"/>
  <c r="E28" i="2"/>
  <c r="F28" i="2" s="1"/>
  <c r="L31" i="2" l="1"/>
  <c r="J29" i="5"/>
  <c r="L29" i="5" s="1"/>
  <c r="N29" i="5" s="1"/>
  <c r="T30" i="3"/>
  <c r="N30" i="3"/>
  <c r="K33" i="6"/>
  <c r="J30" i="2"/>
  <c r="I33" i="6"/>
  <c r="Q30" i="5"/>
  <c r="S30" i="5"/>
  <c r="M30" i="5"/>
  <c r="R30" i="5"/>
  <c r="T30" i="5"/>
  <c r="U30" i="5"/>
  <c r="O30" i="5"/>
  <c r="P30" i="5"/>
  <c r="P30" i="4"/>
  <c r="M30" i="4"/>
  <c r="S30" i="4"/>
  <c r="O30" i="4"/>
  <c r="R30" i="4"/>
  <c r="Q30" i="4"/>
  <c r="N30" i="4"/>
  <c r="O30" i="3"/>
  <c r="M30" i="3"/>
  <c r="U30" i="3" s="1"/>
  <c r="S30" i="3"/>
  <c r="R30" i="3"/>
  <c r="Q30" i="3"/>
  <c r="P30" i="3"/>
  <c r="J29" i="3"/>
  <c r="L29" i="3" s="1"/>
  <c r="I29" i="2"/>
  <c r="J29" i="2" s="1"/>
  <c r="H32" i="6"/>
  <c r="L29" i="4"/>
  <c r="O29" i="4" s="1"/>
  <c r="V28" i="4"/>
  <c r="F28" i="4"/>
  <c r="F28" i="5"/>
  <c r="H28" i="5" s="1"/>
  <c r="I28" i="5" s="1"/>
  <c r="E31" i="6"/>
  <c r="F28" i="3"/>
  <c r="V28" i="5"/>
  <c r="G28" i="4"/>
  <c r="G28" i="3"/>
  <c r="V28" i="2"/>
  <c r="G28" i="2"/>
  <c r="W30" i="6"/>
  <c r="D30" i="6"/>
  <c r="C30" i="6"/>
  <c r="B30" i="6"/>
  <c r="E27" i="5"/>
  <c r="F27" i="5" s="1"/>
  <c r="E27" i="4"/>
  <c r="V27" i="4" s="1"/>
  <c r="E27" i="3"/>
  <c r="E27" i="2"/>
  <c r="W29" i="6"/>
  <c r="D29" i="6"/>
  <c r="C29" i="6"/>
  <c r="B29" i="6"/>
  <c r="O29" i="5" l="1"/>
  <c r="T31" i="2"/>
  <c r="T34" i="6" s="1"/>
  <c r="U31" i="2"/>
  <c r="U34" i="6" s="1"/>
  <c r="N31" i="2"/>
  <c r="N34" i="6" s="1"/>
  <c r="L34" i="6"/>
  <c r="Q31" i="2"/>
  <c r="Q34" i="6" s="1"/>
  <c r="R31" i="2"/>
  <c r="R34" i="6" s="1"/>
  <c r="O31" i="2"/>
  <c r="O34" i="6" s="1"/>
  <c r="S31" i="2"/>
  <c r="S34" i="6" s="1"/>
  <c r="M31" i="2"/>
  <c r="M34" i="6" s="1"/>
  <c r="P31" i="2"/>
  <c r="P34" i="6" s="1"/>
  <c r="J33" i="6"/>
  <c r="L30" i="2"/>
  <c r="R29" i="5"/>
  <c r="S29" i="5"/>
  <c r="M29" i="5"/>
  <c r="P29" i="5"/>
  <c r="Q29" i="5"/>
  <c r="T29" i="5"/>
  <c r="U29" i="5"/>
  <c r="T29" i="3"/>
  <c r="N29" i="3"/>
  <c r="S29" i="4"/>
  <c r="M29" i="4"/>
  <c r="U29" i="4" s="1"/>
  <c r="Q29" i="4"/>
  <c r="N29" i="4"/>
  <c r="T29" i="4"/>
  <c r="R29" i="4"/>
  <c r="J32" i="6"/>
  <c r="K29" i="2"/>
  <c r="K32" i="6" s="1"/>
  <c r="I32" i="6"/>
  <c r="V31" i="6"/>
  <c r="P29" i="4"/>
  <c r="Q29" i="3"/>
  <c r="S29" i="3"/>
  <c r="M29" i="3"/>
  <c r="U29" i="3" s="1"/>
  <c r="O29" i="3"/>
  <c r="P29" i="3"/>
  <c r="R29" i="3"/>
  <c r="H28" i="4"/>
  <c r="I28" i="4" s="1"/>
  <c r="J28" i="4" s="1"/>
  <c r="F31" i="6"/>
  <c r="H28" i="3"/>
  <c r="I28" i="3" s="1"/>
  <c r="K28" i="3" s="1"/>
  <c r="H28" i="2"/>
  <c r="G31" i="6"/>
  <c r="K28" i="5"/>
  <c r="J28" i="5"/>
  <c r="V27" i="3"/>
  <c r="F27" i="3"/>
  <c r="V27" i="2"/>
  <c r="F27" i="2"/>
  <c r="E30" i="6"/>
  <c r="G27" i="5"/>
  <c r="H27" i="5" s="1"/>
  <c r="I27" i="5" s="1"/>
  <c r="J27" i="5" s="1"/>
  <c r="V27" i="5"/>
  <c r="G27" i="4"/>
  <c r="F27" i="4"/>
  <c r="G27" i="3"/>
  <c r="G27" i="2"/>
  <c r="E26" i="5"/>
  <c r="E26" i="4"/>
  <c r="V26" i="4" s="1"/>
  <c r="E26" i="3"/>
  <c r="V26" i="3" s="1"/>
  <c r="E26" i="2"/>
  <c r="H27" i="4" l="1"/>
  <c r="I27" i="4" s="1"/>
  <c r="J27" i="4" s="1"/>
  <c r="T30" i="2"/>
  <c r="T33" i="6" s="1"/>
  <c r="N30" i="2"/>
  <c r="N33" i="6" s="1"/>
  <c r="U30" i="2"/>
  <c r="U33" i="6" s="1"/>
  <c r="L33" i="6"/>
  <c r="O30" i="2"/>
  <c r="O33" i="6" s="1"/>
  <c r="R30" i="2"/>
  <c r="R33" i="6" s="1"/>
  <c r="Q30" i="2"/>
  <c r="Q33" i="6" s="1"/>
  <c r="M30" i="2"/>
  <c r="M33" i="6" s="1"/>
  <c r="P30" i="2"/>
  <c r="P33" i="6" s="1"/>
  <c r="S30" i="2"/>
  <c r="S33" i="6" s="1"/>
  <c r="J28" i="3"/>
  <c r="L28" i="3" s="1"/>
  <c r="V30" i="6"/>
  <c r="L29" i="2"/>
  <c r="N29" i="2" s="1"/>
  <c r="K28" i="4"/>
  <c r="L28" i="4" s="1"/>
  <c r="I28" i="2"/>
  <c r="H31" i="6"/>
  <c r="L28" i="5"/>
  <c r="F30" i="6"/>
  <c r="G30" i="6"/>
  <c r="K27" i="5"/>
  <c r="L27" i="5" s="1"/>
  <c r="N27" i="5" s="1"/>
  <c r="V26" i="5"/>
  <c r="F26" i="5"/>
  <c r="K27" i="4"/>
  <c r="H27" i="3"/>
  <c r="I27" i="3" s="1"/>
  <c r="K27" i="3" s="1"/>
  <c r="H27" i="2"/>
  <c r="E29" i="6"/>
  <c r="F26" i="2"/>
  <c r="F26" i="3"/>
  <c r="G26" i="5"/>
  <c r="F26" i="4"/>
  <c r="G26" i="4"/>
  <c r="G26" i="3"/>
  <c r="V26" i="2"/>
  <c r="G26" i="2"/>
  <c r="M28" i="4" l="1"/>
  <c r="U28" i="4" s="1"/>
  <c r="S28" i="4"/>
  <c r="P28" i="4"/>
  <c r="U29" i="2"/>
  <c r="U32" i="6" s="1"/>
  <c r="L32" i="6"/>
  <c r="N32" i="6"/>
  <c r="O29" i="2"/>
  <c r="O32" i="6" s="1"/>
  <c r="R29" i="2"/>
  <c r="R32" i="6" s="1"/>
  <c r="M29" i="2"/>
  <c r="M32" i="6" s="1"/>
  <c r="Q29" i="2"/>
  <c r="Q32" i="6" s="1"/>
  <c r="S29" i="2"/>
  <c r="S32" i="6" s="1"/>
  <c r="T29" i="2"/>
  <c r="T32" i="6" s="1"/>
  <c r="P29" i="2"/>
  <c r="P32" i="6" s="1"/>
  <c r="T28" i="5"/>
  <c r="N28" i="5"/>
  <c r="T28" i="4"/>
  <c r="N28" i="4"/>
  <c r="R28" i="3"/>
  <c r="N28" i="3"/>
  <c r="T28" i="3"/>
  <c r="R28" i="4"/>
  <c r="Q28" i="4"/>
  <c r="O28" i="4"/>
  <c r="M28" i="3"/>
  <c r="U28" i="3" s="1"/>
  <c r="I31" i="6"/>
  <c r="J28" i="2"/>
  <c r="K28" i="2"/>
  <c r="K31" i="6" s="1"/>
  <c r="M28" i="5"/>
  <c r="O28" i="5"/>
  <c r="R28" i="5"/>
  <c r="P28" i="5"/>
  <c r="Q28" i="5"/>
  <c r="S28" i="5"/>
  <c r="U28" i="5"/>
  <c r="V29" i="6"/>
  <c r="P28" i="3"/>
  <c r="Q28" i="3"/>
  <c r="O28" i="3"/>
  <c r="S28" i="3"/>
  <c r="F29" i="6"/>
  <c r="G29" i="6"/>
  <c r="I27" i="2"/>
  <c r="J27" i="2" s="1"/>
  <c r="H30" i="6"/>
  <c r="U27" i="5"/>
  <c r="M27" i="5"/>
  <c r="T27" i="5"/>
  <c r="Q27" i="5"/>
  <c r="S27" i="5"/>
  <c r="R27" i="5"/>
  <c r="O27" i="5"/>
  <c r="P27" i="5"/>
  <c r="L27" i="4"/>
  <c r="N27" i="4" s="1"/>
  <c r="J27" i="3"/>
  <c r="L27" i="3" s="1"/>
  <c r="H26" i="3"/>
  <c r="I26" i="3" s="1"/>
  <c r="K26" i="3" s="1"/>
  <c r="H26" i="5"/>
  <c r="I26" i="5" s="1"/>
  <c r="K26" i="5" s="1"/>
  <c r="H26" i="4"/>
  <c r="I26" i="4" s="1"/>
  <c r="J26" i="4" s="1"/>
  <c r="H26" i="2"/>
  <c r="W28" i="6"/>
  <c r="D28" i="6"/>
  <c r="C28" i="6"/>
  <c r="B28" i="6"/>
  <c r="E25" i="5"/>
  <c r="E25" i="4"/>
  <c r="V25" i="4" s="1"/>
  <c r="E25" i="3"/>
  <c r="E25" i="2"/>
  <c r="V25" i="2" s="1"/>
  <c r="J26" i="3" l="1"/>
  <c r="L26" i="3" s="1"/>
  <c r="N26" i="3" s="1"/>
  <c r="J26" i="5"/>
  <c r="L26" i="5" s="1"/>
  <c r="N26" i="5" s="1"/>
  <c r="J31" i="6"/>
  <c r="L28" i="2"/>
  <c r="N28" i="2" s="1"/>
  <c r="N27" i="3"/>
  <c r="T27" i="3"/>
  <c r="J30" i="6"/>
  <c r="K27" i="2"/>
  <c r="K30" i="6" s="1"/>
  <c r="I30" i="6"/>
  <c r="M27" i="4"/>
  <c r="U27" i="4" s="1"/>
  <c r="P27" i="4"/>
  <c r="O27" i="4"/>
  <c r="T27" i="4"/>
  <c r="S27" i="4"/>
  <c r="R27" i="4"/>
  <c r="Q27" i="4"/>
  <c r="P27" i="3"/>
  <c r="O27" i="3"/>
  <c r="Q27" i="3"/>
  <c r="R27" i="3"/>
  <c r="S27" i="3"/>
  <c r="M27" i="3"/>
  <c r="U27" i="3" s="1"/>
  <c r="I26" i="2"/>
  <c r="J26" i="2" s="1"/>
  <c r="H29" i="6"/>
  <c r="V25" i="5"/>
  <c r="F25" i="5"/>
  <c r="K26" i="4"/>
  <c r="L26" i="4" s="1"/>
  <c r="V25" i="3"/>
  <c r="F25" i="3"/>
  <c r="F25" i="2"/>
  <c r="E28" i="6"/>
  <c r="G25" i="5"/>
  <c r="G25" i="4"/>
  <c r="F25" i="4"/>
  <c r="G25" i="3"/>
  <c r="G25" i="2"/>
  <c r="J29" i="6" l="1"/>
  <c r="L31" i="6"/>
  <c r="N31" i="6"/>
  <c r="O28" i="2"/>
  <c r="O31" i="6" s="1"/>
  <c r="U28" i="2"/>
  <c r="U31" i="6" s="1"/>
  <c r="M28" i="2"/>
  <c r="M31" i="6" s="1"/>
  <c r="P28" i="2"/>
  <c r="P31" i="6" s="1"/>
  <c r="T28" i="2"/>
  <c r="T31" i="6" s="1"/>
  <c r="S28" i="2"/>
  <c r="S31" i="6" s="1"/>
  <c r="R28" i="2"/>
  <c r="R31" i="6" s="1"/>
  <c r="Q28" i="2"/>
  <c r="Q31" i="6" s="1"/>
  <c r="V28" i="6"/>
  <c r="L27" i="2"/>
  <c r="N27" i="2" s="1"/>
  <c r="K26" i="2"/>
  <c r="I29" i="6"/>
  <c r="O26" i="5"/>
  <c r="T26" i="4"/>
  <c r="N26" i="4"/>
  <c r="P26" i="3"/>
  <c r="T26" i="3"/>
  <c r="M26" i="5"/>
  <c r="T26" i="5"/>
  <c r="Q26" i="5"/>
  <c r="R26" i="5"/>
  <c r="S26" i="5"/>
  <c r="U26" i="5"/>
  <c r="P26" i="5"/>
  <c r="M26" i="4"/>
  <c r="U26" i="4" s="1"/>
  <c r="O26" i="4"/>
  <c r="S26" i="4"/>
  <c r="P26" i="4"/>
  <c r="Q26" i="4"/>
  <c r="R26" i="4"/>
  <c r="H25" i="4"/>
  <c r="I25" i="4" s="1"/>
  <c r="K25" i="4" s="1"/>
  <c r="Q26" i="3"/>
  <c r="R26" i="3"/>
  <c r="S26" i="3"/>
  <c r="M26" i="3"/>
  <c r="U26" i="3" s="1"/>
  <c r="O26" i="3"/>
  <c r="G28" i="6"/>
  <c r="F28" i="6"/>
  <c r="H25" i="5"/>
  <c r="I25" i="5" s="1"/>
  <c r="K25" i="5" s="1"/>
  <c r="H25" i="3"/>
  <c r="I25" i="3" s="1"/>
  <c r="J25" i="3" s="1"/>
  <c r="H25" i="2"/>
  <c r="B27" i="6"/>
  <c r="W27" i="6"/>
  <c r="D27" i="6"/>
  <c r="C27" i="6"/>
  <c r="E24" i="5"/>
  <c r="E24" i="4"/>
  <c r="G24" i="4" s="1"/>
  <c r="E24" i="3"/>
  <c r="E24" i="2"/>
  <c r="W26" i="6"/>
  <c r="D26" i="6"/>
  <c r="C26" i="6"/>
  <c r="B26" i="6"/>
  <c r="J25" i="4" l="1"/>
  <c r="L25" i="4" s="1"/>
  <c r="T27" i="2"/>
  <c r="T30" i="6" s="1"/>
  <c r="L30" i="6"/>
  <c r="N30" i="6"/>
  <c r="P27" i="2"/>
  <c r="P30" i="6" s="1"/>
  <c r="M27" i="2"/>
  <c r="M30" i="6" s="1"/>
  <c r="R27" i="2"/>
  <c r="R30" i="6" s="1"/>
  <c r="Q27" i="2"/>
  <c r="Q30" i="6" s="1"/>
  <c r="S27" i="2"/>
  <c r="S30" i="6" s="1"/>
  <c r="U27" i="2"/>
  <c r="U30" i="6" s="1"/>
  <c r="O27" i="2"/>
  <c r="O30" i="6" s="1"/>
  <c r="K29" i="6"/>
  <c r="L26" i="2"/>
  <c r="I25" i="2"/>
  <c r="J25" i="2" s="1"/>
  <c r="H28" i="6"/>
  <c r="J25" i="5"/>
  <c r="L25" i="5" s="1"/>
  <c r="N25" i="5" s="1"/>
  <c r="V24" i="5"/>
  <c r="F24" i="5"/>
  <c r="K25" i="3"/>
  <c r="L25" i="3" s="1"/>
  <c r="V24" i="3"/>
  <c r="F24" i="3"/>
  <c r="E27" i="6"/>
  <c r="F24" i="2"/>
  <c r="F24" i="4"/>
  <c r="H24" i="4" s="1"/>
  <c r="I24" i="4" s="1"/>
  <c r="G24" i="5"/>
  <c r="V24" i="4"/>
  <c r="G24" i="3"/>
  <c r="G24" i="2"/>
  <c r="V24" i="2"/>
  <c r="H24" i="5" l="1"/>
  <c r="I24" i="5" s="1"/>
  <c r="K24" i="5" s="1"/>
  <c r="N26" i="2"/>
  <c r="N29" i="6" s="1"/>
  <c r="L29" i="6"/>
  <c r="M26" i="2"/>
  <c r="M29" i="6" s="1"/>
  <c r="O26" i="2"/>
  <c r="O29" i="6" s="1"/>
  <c r="R26" i="2"/>
  <c r="R29" i="6" s="1"/>
  <c r="U26" i="2"/>
  <c r="U29" i="6" s="1"/>
  <c r="T26" i="2"/>
  <c r="T29" i="6" s="1"/>
  <c r="Q26" i="2"/>
  <c r="Q29" i="6" s="1"/>
  <c r="S26" i="2"/>
  <c r="S29" i="6" s="1"/>
  <c r="P26" i="2"/>
  <c r="P29" i="6" s="1"/>
  <c r="T25" i="4"/>
  <c r="N25" i="4"/>
  <c r="T25" i="3"/>
  <c r="N25" i="3"/>
  <c r="S25" i="4"/>
  <c r="J28" i="6"/>
  <c r="K25" i="2"/>
  <c r="K28" i="6" s="1"/>
  <c r="I28" i="6"/>
  <c r="P25" i="5"/>
  <c r="R25" i="5"/>
  <c r="T25" i="5"/>
  <c r="M25" i="5"/>
  <c r="U25" i="5"/>
  <c r="S25" i="5"/>
  <c r="O25" i="5"/>
  <c r="Q25" i="5"/>
  <c r="O25" i="4"/>
  <c r="P25" i="4"/>
  <c r="M25" i="4"/>
  <c r="U25" i="4" s="1"/>
  <c r="Q25" i="4"/>
  <c r="R25" i="4"/>
  <c r="O25" i="3"/>
  <c r="Q25" i="3"/>
  <c r="M25" i="3"/>
  <c r="U25" i="3" s="1"/>
  <c r="P25" i="3"/>
  <c r="R25" i="3"/>
  <c r="S25" i="3"/>
  <c r="G27" i="6"/>
  <c r="H24" i="2"/>
  <c r="F27" i="6"/>
  <c r="V27" i="6"/>
  <c r="J24" i="4"/>
  <c r="K24" i="4"/>
  <c r="H24" i="3"/>
  <c r="I24" i="3" s="1"/>
  <c r="J24" i="3" s="1"/>
  <c r="E23" i="5"/>
  <c r="F23" i="5" s="1"/>
  <c r="E23" i="4"/>
  <c r="E23" i="3"/>
  <c r="V23" i="3" s="1"/>
  <c r="E23" i="2"/>
  <c r="J24" i="5" l="1"/>
  <c r="L24" i="5" s="1"/>
  <c r="N24" i="5" s="1"/>
  <c r="L25" i="2"/>
  <c r="O25" i="2" s="1"/>
  <c r="O28" i="6" s="1"/>
  <c r="I24" i="2"/>
  <c r="H27" i="6"/>
  <c r="L24" i="4"/>
  <c r="G23" i="4"/>
  <c r="F23" i="4"/>
  <c r="K24" i="3"/>
  <c r="L24" i="3" s="1"/>
  <c r="V23" i="2"/>
  <c r="E26" i="6"/>
  <c r="F23" i="3"/>
  <c r="V23" i="5"/>
  <c r="G23" i="5"/>
  <c r="V23" i="4"/>
  <c r="G23" i="3"/>
  <c r="F23" i="2"/>
  <c r="G23" i="2"/>
  <c r="H23" i="4" l="1"/>
  <c r="I23" i="4" s="1"/>
  <c r="K23" i="4" s="1"/>
  <c r="V26" i="6"/>
  <c r="R25" i="2"/>
  <c r="R28" i="6" s="1"/>
  <c r="N25" i="2"/>
  <c r="N28" i="6" s="1"/>
  <c r="S25" i="2"/>
  <c r="S28" i="6" s="1"/>
  <c r="L28" i="6"/>
  <c r="P25" i="2"/>
  <c r="P28" i="6" s="1"/>
  <c r="Q25" i="2"/>
  <c r="Q28" i="6" s="1"/>
  <c r="M25" i="2"/>
  <c r="M28" i="6" s="1"/>
  <c r="U25" i="2"/>
  <c r="U28" i="6" s="1"/>
  <c r="T25" i="2"/>
  <c r="T28" i="6" s="1"/>
  <c r="N24" i="4"/>
  <c r="T24" i="4"/>
  <c r="G26" i="6"/>
  <c r="R24" i="4"/>
  <c r="T24" i="3"/>
  <c r="N24" i="3"/>
  <c r="I27" i="6"/>
  <c r="J24" i="2"/>
  <c r="K24" i="2"/>
  <c r="K27" i="6" s="1"/>
  <c r="U24" i="5"/>
  <c r="M24" i="5"/>
  <c r="T24" i="5"/>
  <c r="S24" i="5"/>
  <c r="O24" i="5"/>
  <c r="R24" i="5"/>
  <c r="Q24" i="5"/>
  <c r="P24" i="5"/>
  <c r="P24" i="4"/>
  <c r="S24" i="4"/>
  <c r="M24" i="4"/>
  <c r="U24" i="4" s="1"/>
  <c r="O24" i="4"/>
  <c r="Q24" i="4"/>
  <c r="S24" i="3"/>
  <c r="P24" i="3"/>
  <c r="M24" i="3"/>
  <c r="U24" i="3" s="1"/>
  <c r="O24" i="3"/>
  <c r="R24" i="3"/>
  <c r="Q24" i="3"/>
  <c r="F26" i="6"/>
  <c r="H23" i="3"/>
  <c r="I23" i="3" s="1"/>
  <c r="K23" i="3" s="1"/>
  <c r="H23" i="5"/>
  <c r="I23" i="5" s="1"/>
  <c r="J23" i="5" s="1"/>
  <c r="H23" i="2"/>
  <c r="W25" i="6"/>
  <c r="D25" i="6"/>
  <c r="C25" i="6"/>
  <c r="B25" i="6"/>
  <c r="E22" i="5"/>
  <c r="E22" i="4"/>
  <c r="V22" i="4" s="1"/>
  <c r="E22" i="3"/>
  <c r="E22" i="2"/>
  <c r="V22" i="2" s="1"/>
  <c r="J23" i="4" l="1"/>
  <c r="L23" i="4" s="1"/>
  <c r="O23" i="4" s="1"/>
  <c r="J23" i="3"/>
  <c r="L23" i="3" s="1"/>
  <c r="J27" i="6"/>
  <c r="L24" i="2"/>
  <c r="O24" i="2" s="1"/>
  <c r="I23" i="2"/>
  <c r="J23" i="2" s="1"/>
  <c r="H26" i="6"/>
  <c r="K23" i="5"/>
  <c r="L23" i="5" s="1"/>
  <c r="N23" i="5" s="1"/>
  <c r="V22" i="5"/>
  <c r="F22" i="5"/>
  <c r="V22" i="3"/>
  <c r="F22" i="3"/>
  <c r="F22" i="4"/>
  <c r="E25" i="6"/>
  <c r="G22" i="5"/>
  <c r="G22" i="4"/>
  <c r="G22" i="3"/>
  <c r="G22" i="2"/>
  <c r="F22" i="2"/>
  <c r="W24" i="6"/>
  <c r="D24" i="6"/>
  <c r="C24" i="6"/>
  <c r="B24" i="6"/>
  <c r="E21" i="5"/>
  <c r="E21" i="4"/>
  <c r="E21" i="3"/>
  <c r="G21" i="3" s="1"/>
  <c r="E21" i="2"/>
  <c r="V21" i="2" s="1"/>
  <c r="H22" i="4" l="1"/>
  <c r="I22" i="4" s="1"/>
  <c r="J22" i="4" s="1"/>
  <c r="Q23" i="4"/>
  <c r="R23" i="4"/>
  <c r="S23" i="4"/>
  <c r="M23" i="4"/>
  <c r="U23" i="4" s="1"/>
  <c r="T23" i="4"/>
  <c r="P23" i="4"/>
  <c r="N23" i="4"/>
  <c r="V25" i="6"/>
  <c r="H22" i="3"/>
  <c r="I22" i="3" s="1"/>
  <c r="J22" i="3" s="1"/>
  <c r="N24" i="2"/>
  <c r="N27" i="6" s="1"/>
  <c r="L27" i="6"/>
  <c r="Q24" i="2"/>
  <c r="Q27" i="6" s="1"/>
  <c r="P24" i="2"/>
  <c r="P27" i="6" s="1"/>
  <c r="T24" i="2"/>
  <c r="T27" i="6" s="1"/>
  <c r="U24" i="2"/>
  <c r="U27" i="6" s="1"/>
  <c r="S24" i="2"/>
  <c r="S27" i="6" s="1"/>
  <c r="R24" i="2"/>
  <c r="R27" i="6" s="1"/>
  <c r="O27" i="6"/>
  <c r="M24" i="2"/>
  <c r="M27" i="6" s="1"/>
  <c r="T23" i="3"/>
  <c r="N23" i="3"/>
  <c r="J26" i="6"/>
  <c r="K23" i="2"/>
  <c r="K26" i="6" s="1"/>
  <c r="I26" i="6"/>
  <c r="U23" i="5"/>
  <c r="M23" i="5"/>
  <c r="T23" i="5"/>
  <c r="R23" i="5"/>
  <c r="Q23" i="5"/>
  <c r="S23" i="5"/>
  <c r="P23" i="5"/>
  <c r="O23" i="5"/>
  <c r="M23" i="3"/>
  <c r="U23" i="3" s="1"/>
  <c r="S23" i="3"/>
  <c r="R23" i="3"/>
  <c r="Q23" i="3"/>
  <c r="P23" i="3"/>
  <c r="O23" i="3"/>
  <c r="G25" i="6"/>
  <c r="H22" i="2"/>
  <c r="F25" i="6"/>
  <c r="H22" i="5"/>
  <c r="I22" i="5" s="1"/>
  <c r="J22" i="5" s="1"/>
  <c r="V21" i="5"/>
  <c r="F21" i="5"/>
  <c r="V21" i="4"/>
  <c r="F21" i="4"/>
  <c r="F21" i="3"/>
  <c r="H21" i="3" s="1"/>
  <c r="I21" i="3" s="1"/>
  <c r="K21" i="3" s="1"/>
  <c r="E24" i="6"/>
  <c r="F21" i="2"/>
  <c r="G21" i="5"/>
  <c r="G21" i="4"/>
  <c r="V21" i="3"/>
  <c r="G21" i="2"/>
  <c r="K22" i="3" l="1"/>
  <c r="L22" i="3" s="1"/>
  <c r="K22" i="4"/>
  <c r="L22" i="4" s="1"/>
  <c r="M22" i="4" s="1"/>
  <c r="U22" i="4" s="1"/>
  <c r="L23" i="2"/>
  <c r="L26" i="6" s="1"/>
  <c r="I22" i="2"/>
  <c r="H25" i="6"/>
  <c r="K22" i="5"/>
  <c r="L22" i="5" s="1"/>
  <c r="N22" i="5" s="1"/>
  <c r="V24" i="6"/>
  <c r="F24" i="6"/>
  <c r="G24" i="6"/>
  <c r="H21" i="5"/>
  <c r="I21" i="5" s="1"/>
  <c r="H21" i="4"/>
  <c r="I21" i="4" s="1"/>
  <c r="K21" i="4" s="1"/>
  <c r="J21" i="3"/>
  <c r="L21" i="3" s="1"/>
  <c r="H21" i="2"/>
  <c r="T23" i="2" l="1"/>
  <c r="T26" i="6" s="1"/>
  <c r="U23" i="2"/>
  <c r="U26" i="6" s="1"/>
  <c r="R23" i="2"/>
  <c r="R26" i="6" s="1"/>
  <c r="Q23" i="2"/>
  <c r="Q26" i="6" s="1"/>
  <c r="N23" i="2"/>
  <c r="N26" i="6" s="1"/>
  <c r="O23" i="2"/>
  <c r="O26" i="6" s="1"/>
  <c r="S23" i="2"/>
  <c r="S26" i="6" s="1"/>
  <c r="M23" i="2"/>
  <c r="M26" i="6" s="1"/>
  <c r="P23" i="2"/>
  <c r="P26" i="6" s="1"/>
  <c r="R22" i="4"/>
  <c r="P22" i="4"/>
  <c r="O22" i="4"/>
  <c r="N22" i="4"/>
  <c r="S22" i="3"/>
  <c r="T22" i="3"/>
  <c r="N22" i="3"/>
  <c r="I25" i="6"/>
  <c r="J22" i="2"/>
  <c r="K22" i="2"/>
  <c r="K25" i="6" s="1"/>
  <c r="U22" i="5"/>
  <c r="M22" i="5"/>
  <c r="T22" i="5"/>
  <c r="S22" i="5"/>
  <c r="R22" i="5"/>
  <c r="Q22" i="5"/>
  <c r="P22" i="5"/>
  <c r="O22" i="5"/>
  <c r="Q22" i="4"/>
  <c r="S22" i="4"/>
  <c r="T22" i="4"/>
  <c r="M22" i="3"/>
  <c r="U22" i="3" s="1"/>
  <c r="Q22" i="3"/>
  <c r="O22" i="3"/>
  <c r="R22" i="3"/>
  <c r="P22" i="3"/>
  <c r="M21" i="3"/>
  <c r="U21" i="3" s="1"/>
  <c r="T21" i="3"/>
  <c r="N21" i="3"/>
  <c r="I21" i="2"/>
  <c r="I24" i="6" s="1"/>
  <c r="H24" i="6"/>
  <c r="K21" i="5"/>
  <c r="J21" i="5"/>
  <c r="J21" i="4"/>
  <c r="L21" i="4" s="1"/>
  <c r="N21" i="4" s="1"/>
  <c r="P21" i="3"/>
  <c r="O21" i="3"/>
  <c r="S21" i="3"/>
  <c r="Q21" i="3"/>
  <c r="R21" i="3"/>
  <c r="K21" i="2" l="1"/>
  <c r="K24" i="6" s="1"/>
  <c r="J21" i="2"/>
  <c r="J24" i="6" s="1"/>
  <c r="J25" i="6"/>
  <c r="L22" i="2"/>
  <c r="L21" i="5"/>
  <c r="N21" i="5" s="1"/>
  <c r="M21" i="4"/>
  <c r="U21" i="4" s="1"/>
  <c r="T21" i="4"/>
  <c r="S21" i="4"/>
  <c r="Q21" i="4"/>
  <c r="R21" i="4"/>
  <c r="P21" i="4"/>
  <c r="O21" i="4"/>
  <c r="L21" i="2" l="1"/>
  <c r="P21" i="2" s="1"/>
  <c r="T22" i="2"/>
  <c r="T25" i="6" s="1"/>
  <c r="N22" i="2"/>
  <c r="N25" i="6" s="1"/>
  <c r="U22" i="2"/>
  <c r="U25" i="6" s="1"/>
  <c r="L25" i="6"/>
  <c r="R22" i="2"/>
  <c r="R25" i="6" s="1"/>
  <c r="P22" i="2"/>
  <c r="P25" i="6" s="1"/>
  <c r="S22" i="2"/>
  <c r="S25" i="6" s="1"/>
  <c r="Q22" i="2"/>
  <c r="Q25" i="6" s="1"/>
  <c r="M22" i="2"/>
  <c r="M25" i="6" s="1"/>
  <c r="O22" i="2"/>
  <c r="O25" i="6" s="1"/>
  <c r="U21" i="5"/>
  <c r="Q21" i="5"/>
  <c r="T21" i="5"/>
  <c r="P21" i="5"/>
  <c r="R21" i="5"/>
  <c r="M21" i="5"/>
  <c r="O21" i="5"/>
  <c r="S21" i="5"/>
  <c r="L24" i="6" l="1"/>
  <c r="T21" i="2"/>
  <c r="Q21" i="2"/>
  <c r="Q24" i="6" s="1"/>
  <c r="N21" i="2"/>
  <c r="N24" i="6" s="1"/>
  <c r="P24" i="6"/>
  <c r="U21" i="2"/>
  <c r="U24" i="6" s="1"/>
  <c r="R21" i="2"/>
  <c r="R24" i="6" s="1"/>
  <c r="M21" i="2"/>
  <c r="M24" i="6" s="1"/>
  <c r="O21" i="2"/>
  <c r="O24" i="6" s="1"/>
  <c r="S21" i="2"/>
  <c r="S24" i="6" s="1"/>
  <c r="T24" i="6"/>
  <c r="W23" i="6"/>
  <c r="D23" i="6"/>
  <c r="C23" i="6"/>
  <c r="B23" i="6"/>
  <c r="E20" i="5"/>
  <c r="F20" i="5" s="1"/>
  <c r="E20" i="4"/>
  <c r="V20" i="4" s="1"/>
  <c r="E20" i="3"/>
  <c r="F20" i="3" s="1"/>
  <c r="E20" i="2"/>
  <c r="F20" i="2" s="1"/>
  <c r="E23" i="6" l="1"/>
  <c r="G20" i="5"/>
  <c r="H20" i="5" s="1"/>
  <c r="I20" i="5" s="1"/>
  <c r="V20" i="5"/>
  <c r="F20" i="4"/>
  <c r="G20" i="4"/>
  <c r="V20" i="3"/>
  <c r="G20" i="3"/>
  <c r="V20" i="2"/>
  <c r="G20" i="2"/>
  <c r="H20" i="4" l="1"/>
  <c r="I20" i="4" s="1"/>
  <c r="J20" i="4" s="1"/>
  <c r="F23" i="6"/>
  <c r="G23" i="6"/>
  <c r="V23" i="6"/>
  <c r="K20" i="5"/>
  <c r="J20" i="5"/>
  <c r="H20" i="3"/>
  <c r="I20" i="3" s="1"/>
  <c r="J20" i="3" s="1"/>
  <c r="H20" i="2"/>
  <c r="W22" i="6"/>
  <c r="D22" i="6"/>
  <c r="C22" i="6"/>
  <c r="B22" i="6"/>
  <c r="E19" i="5"/>
  <c r="G19" i="5" s="1"/>
  <c r="E19" i="4"/>
  <c r="V19" i="4" s="1"/>
  <c r="E19" i="3"/>
  <c r="E19" i="2"/>
  <c r="K20" i="4" l="1"/>
  <c r="L20" i="4" s="1"/>
  <c r="N20" i="4" s="1"/>
  <c r="I20" i="2"/>
  <c r="K20" i="2" s="1"/>
  <c r="H23" i="6"/>
  <c r="L20" i="5"/>
  <c r="N20" i="5" s="1"/>
  <c r="K20" i="3"/>
  <c r="L20" i="3" s="1"/>
  <c r="V19" i="3"/>
  <c r="F19" i="3"/>
  <c r="V19" i="2"/>
  <c r="F19" i="2"/>
  <c r="F19" i="5"/>
  <c r="H19" i="5" s="1"/>
  <c r="I19" i="5" s="1"/>
  <c r="F19" i="4"/>
  <c r="E22" i="6"/>
  <c r="V19" i="5"/>
  <c r="G19" i="4"/>
  <c r="G19" i="3"/>
  <c r="G19" i="2"/>
  <c r="Q20" i="5" l="1"/>
  <c r="S20" i="4"/>
  <c r="T20" i="4"/>
  <c r="N20" i="3"/>
  <c r="T20" i="3"/>
  <c r="K23" i="6"/>
  <c r="J20" i="2"/>
  <c r="J23" i="6" s="1"/>
  <c r="I23" i="6"/>
  <c r="O20" i="5"/>
  <c r="R20" i="5"/>
  <c r="T20" i="5"/>
  <c r="S20" i="5"/>
  <c r="M20" i="5"/>
  <c r="P20" i="5"/>
  <c r="U20" i="5"/>
  <c r="P20" i="4"/>
  <c r="O20" i="4"/>
  <c r="Q20" i="4"/>
  <c r="M20" i="4"/>
  <c r="U20" i="4" s="1"/>
  <c r="R20" i="4"/>
  <c r="O20" i="3"/>
  <c r="S20" i="3"/>
  <c r="P20" i="3"/>
  <c r="R20" i="3"/>
  <c r="M20" i="3"/>
  <c r="U20" i="3" s="1"/>
  <c r="Q20" i="3"/>
  <c r="V22" i="6"/>
  <c r="F22" i="6"/>
  <c r="G22" i="6"/>
  <c r="K19" i="5"/>
  <c r="J19" i="5"/>
  <c r="H19" i="4"/>
  <c r="I19" i="4" s="1"/>
  <c r="J19" i="4" s="1"/>
  <c r="H19" i="3"/>
  <c r="I19" i="3" s="1"/>
  <c r="K19" i="3" s="1"/>
  <c r="H19" i="2"/>
  <c r="W21" i="6"/>
  <c r="D21" i="6"/>
  <c r="C21" i="6"/>
  <c r="B21" i="6"/>
  <c r="E18" i="2"/>
  <c r="E18" i="3"/>
  <c r="E18" i="4"/>
  <c r="E18" i="5"/>
  <c r="E17" i="4"/>
  <c r="L20" i="2" l="1"/>
  <c r="I19" i="2"/>
  <c r="J19" i="2" s="1"/>
  <c r="H22" i="6"/>
  <c r="L19" i="5"/>
  <c r="N19" i="5" s="1"/>
  <c r="V18" i="5"/>
  <c r="F18" i="5"/>
  <c r="K19" i="4"/>
  <c r="L19" i="4" s="1"/>
  <c r="G18" i="4"/>
  <c r="F18" i="4"/>
  <c r="J19" i="3"/>
  <c r="L19" i="3" s="1"/>
  <c r="V18" i="3"/>
  <c r="F18" i="3"/>
  <c r="V18" i="2"/>
  <c r="F18" i="2"/>
  <c r="E21" i="6"/>
  <c r="G18" i="2"/>
  <c r="G18" i="3"/>
  <c r="V18" i="4"/>
  <c r="G18" i="5"/>
  <c r="W20" i="6"/>
  <c r="D20" i="6"/>
  <c r="C20" i="6"/>
  <c r="B20" i="6"/>
  <c r="E17" i="5"/>
  <c r="V17" i="5" s="1"/>
  <c r="V17" i="4"/>
  <c r="E17" i="3"/>
  <c r="V17" i="3" s="1"/>
  <c r="E17" i="2"/>
  <c r="V17" i="2" s="1"/>
  <c r="H18" i="4" l="1"/>
  <c r="I18" i="4" s="1"/>
  <c r="K18" i="4" s="1"/>
  <c r="U20" i="2"/>
  <c r="U23" i="6" s="1"/>
  <c r="T20" i="2"/>
  <c r="T23" i="6" s="1"/>
  <c r="N20" i="2"/>
  <c r="N23" i="6" s="1"/>
  <c r="L23" i="6"/>
  <c r="P20" i="2"/>
  <c r="P23" i="6" s="1"/>
  <c r="M20" i="2"/>
  <c r="M23" i="6" s="1"/>
  <c r="S20" i="2"/>
  <c r="S23" i="6" s="1"/>
  <c r="R20" i="2"/>
  <c r="R23" i="6" s="1"/>
  <c r="O20" i="2"/>
  <c r="O23" i="6" s="1"/>
  <c r="Q20" i="2"/>
  <c r="Q23" i="6" s="1"/>
  <c r="T19" i="4"/>
  <c r="N19" i="4"/>
  <c r="T19" i="3"/>
  <c r="N19" i="3"/>
  <c r="V21" i="6"/>
  <c r="M19" i="5"/>
  <c r="O19" i="4"/>
  <c r="J22" i="6"/>
  <c r="K19" i="2"/>
  <c r="K22" i="6" s="1"/>
  <c r="I22" i="6"/>
  <c r="U19" i="5"/>
  <c r="R19" i="5"/>
  <c r="Q19" i="5"/>
  <c r="S19" i="5"/>
  <c r="O19" i="5"/>
  <c r="T19" i="5"/>
  <c r="P19" i="5"/>
  <c r="Q19" i="4"/>
  <c r="R19" i="4"/>
  <c r="P19" i="4"/>
  <c r="S19" i="4"/>
  <c r="M19" i="4"/>
  <c r="U19" i="4" s="1"/>
  <c r="O19" i="3"/>
  <c r="Q19" i="3"/>
  <c r="M19" i="3"/>
  <c r="U19" i="3" s="1"/>
  <c r="P19" i="3"/>
  <c r="R19" i="3"/>
  <c r="S19" i="3"/>
  <c r="F21" i="6"/>
  <c r="G21" i="6"/>
  <c r="H18" i="2"/>
  <c r="H18" i="3"/>
  <c r="I18" i="3" s="1"/>
  <c r="J18" i="3" s="1"/>
  <c r="H18" i="5"/>
  <c r="I18" i="5" s="1"/>
  <c r="K18" i="5" s="1"/>
  <c r="F17" i="5"/>
  <c r="F17" i="2"/>
  <c r="E20" i="6"/>
  <c r="V20" i="6"/>
  <c r="G17" i="5"/>
  <c r="G17" i="4"/>
  <c r="F17" i="4"/>
  <c r="G17" i="3"/>
  <c r="F17" i="3"/>
  <c r="G17" i="2"/>
  <c r="J18" i="4" l="1"/>
  <c r="L18" i="4" s="1"/>
  <c r="H17" i="4"/>
  <c r="I17" i="4" s="1"/>
  <c r="K17" i="4" s="1"/>
  <c r="L19" i="2"/>
  <c r="I18" i="2"/>
  <c r="J18" i="2" s="1"/>
  <c r="H21" i="6"/>
  <c r="K18" i="3"/>
  <c r="L18" i="3" s="1"/>
  <c r="N18" i="3" s="1"/>
  <c r="J18" i="5"/>
  <c r="L18" i="5" s="1"/>
  <c r="G20" i="6"/>
  <c r="F20" i="6"/>
  <c r="H17" i="5"/>
  <c r="I17" i="5" s="1"/>
  <c r="K17" i="5" s="1"/>
  <c r="H17" i="3"/>
  <c r="I17" i="3" s="1"/>
  <c r="K17" i="3" s="1"/>
  <c r="H17" i="2"/>
  <c r="W19" i="6"/>
  <c r="D19" i="6"/>
  <c r="C19" i="6"/>
  <c r="B19" i="6"/>
  <c r="E16" i="5"/>
  <c r="F16" i="5" s="1"/>
  <c r="E16" i="4"/>
  <c r="V16" i="4" s="1"/>
  <c r="E16" i="3"/>
  <c r="V16" i="3" s="1"/>
  <c r="E16" i="2"/>
  <c r="J17" i="4" l="1"/>
  <c r="L17" i="4" s="1"/>
  <c r="N17" i="4" s="1"/>
  <c r="T19" i="2"/>
  <c r="T22" i="6" s="1"/>
  <c r="N19" i="2"/>
  <c r="N22" i="6" s="1"/>
  <c r="U19" i="2"/>
  <c r="U22" i="6" s="1"/>
  <c r="L22" i="6"/>
  <c r="S19" i="2"/>
  <c r="S22" i="6" s="1"/>
  <c r="R19" i="2"/>
  <c r="R22" i="6" s="1"/>
  <c r="Q19" i="2"/>
  <c r="Q22" i="6" s="1"/>
  <c r="P19" i="2"/>
  <c r="P22" i="6" s="1"/>
  <c r="M19" i="2"/>
  <c r="M22" i="6" s="1"/>
  <c r="O19" i="2"/>
  <c r="O22" i="6" s="1"/>
  <c r="T18" i="5"/>
  <c r="N18" i="5"/>
  <c r="O18" i="4"/>
  <c r="N18" i="4"/>
  <c r="T18" i="4"/>
  <c r="M18" i="4"/>
  <c r="U18" i="4" s="1"/>
  <c r="J21" i="6"/>
  <c r="K18" i="2"/>
  <c r="K21" i="6" s="1"/>
  <c r="I21" i="6"/>
  <c r="T18" i="3"/>
  <c r="R18" i="3"/>
  <c r="Q18" i="3"/>
  <c r="O18" i="3"/>
  <c r="S18" i="3"/>
  <c r="M18" i="3"/>
  <c r="U18" i="3" s="1"/>
  <c r="P18" i="3"/>
  <c r="P18" i="4"/>
  <c r="R18" i="4"/>
  <c r="Q18" i="4"/>
  <c r="S18" i="4"/>
  <c r="P18" i="5"/>
  <c r="O18" i="5"/>
  <c r="M18" i="5"/>
  <c r="Q18" i="5"/>
  <c r="R18" i="5"/>
  <c r="S18" i="5"/>
  <c r="U18" i="5"/>
  <c r="I17" i="2"/>
  <c r="J17" i="2" s="1"/>
  <c r="H20" i="6"/>
  <c r="J17" i="5"/>
  <c r="L17" i="5" s="1"/>
  <c r="J17" i="3"/>
  <c r="L17" i="3" s="1"/>
  <c r="N17" i="3" s="1"/>
  <c r="V16" i="2"/>
  <c r="F16" i="2"/>
  <c r="E19" i="6"/>
  <c r="G16" i="5"/>
  <c r="V16" i="5"/>
  <c r="G16" i="4"/>
  <c r="F16" i="4"/>
  <c r="G16" i="3"/>
  <c r="F16" i="3"/>
  <c r="G16" i="2"/>
  <c r="V19" i="6" l="1"/>
  <c r="H16" i="3"/>
  <c r="I16" i="3" s="1"/>
  <c r="J16" i="3" s="1"/>
  <c r="L18" i="2"/>
  <c r="T17" i="4"/>
  <c r="T17" i="3"/>
  <c r="J20" i="6"/>
  <c r="K17" i="2"/>
  <c r="K20" i="6" s="1"/>
  <c r="I20" i="6"/>
  <c r="N17" i="5"/>
  <c r="R17" i="5"/>
  <c r="U17" i="5"/>
  <c r="M17" i="5"/>
  <c r="T17" i="5"/>
  <c r="S17" i="5"/>
  <c r="Q17" i="5"/>
  <c r="P17" i="5"/>
  <c r="O17" i="5"/>
  <c r="M17" i="4"/>
  <c r="U17" i="4" s="1"/>
  <c r="S17" i="4"/>
  <c r="R17" i="4"/>
  <c r="Q17" i="4"/>
  <c r="P17" i="4"/>
  <c r="O17" i="4"/>
  <c r="H16" i="4"/>
  <c r="I16" i="4" s="1"/>
  <c r="K16" i="4" s="1"/>
  <c r="O17" i="3"/>
  <c r="M17" i="3"/>
  <c r="U17" i="3" s="1"/>
  <c r="P17" i="3"/>
  <c r="Q17" i="3"/>
  <c r="R17" i="3"/>
  <c r="S17" i="3"/>
  <c r="G19" i="6"/>
  <c r="F19" i="6"/>
  <c r="H16" i="5"/>
  <c r="I16" i="5" s="1"/>
  <c r="J16" i="5" s="1"/>
  <c r="H16" i="2"/>
  <c r="W18" i="6"/>
  <c r="D18" i="6"/>
  <c r="C18" i="6"/>
  <c r="B18" i="6"/>
  <c r="E15" i="5"/>
  <c r="V15" i="5" s="1"/>
  <c r="E15" i="4"/>
  <c r="V15" i="4" s="1"/>
  <c r="E15" i="3"/>
  <c r="F15" i="3" s="1"/>
  <c r="E15" i="2"/>
  <c r="F15" i="2" s="1"/>
  <c r="K16" i="3" l="1"/>
  <c r="L16" i="3" s="1"/>
  <c r="N16" i="3" s="1"/>
  <c r="L21" i="6"/>
  <c r="N18" i="2"/>
  <c r="N21" i="6" s="1"/>
  <c r="Q18" i="2"/>
  <c r="Q21" i="6" s="1"/>
  <c r="S18" i="2"/>
  <c r="S21" i="6" s="1"/>
  <c r="T18" i="2"/>
  <c r="T21" i="6" s="1"/>
  <c r="R18" i="2"/>
  <c r="R21" i="6" s="1"/>
  <c r="M18" i="2"/>
  <c r="M21" i="6" s="1"/>
  <c r="U18" i="2"/>
  <c r="U21" i="6" s="1"/>
  <c r="O18" i="2"/>
  <c r="O21" i="6" s="1"/>
  <c r="P18" i="2"/>
  <c r="P21" i="6" s="1"/>
  <c r="J16" i="4"/>
  <c r="L16" i="4" s="1"/>
  <c r="L17" i="2"/>
  <c r="N17" i="2" s="1"/>
  <c r="I16" i="2"/>
  <c r="J16" i="2" s="1"/>
  <c r="H19" i="6"/>
  <c r="K16" i="5"/>
  <c r="L16" i="5" s="1"/>
  <c r="F15" i="4"/>
  <c r="E18" i="6"/>
  <c r="G15" i="5"/>
  <c r="F15" i="5"/>
  <c r="G15" i="4"/>
  <c r="V15" i="3"/>
  <c r="G15" i="3"/>
  <c r="H15" i="3" s="1"/>
  <c r="I15" i="3" s="1"/>
  <c r="V15" i="2"/>
  <c r="G15" i="2"/>
  <c r="L20" i="6" l="1"/>
  <c r="U17" i="2"/>
  <c r="U20" i="6" s="1"/>
  <c r="T17" i="2"/>
  <c r="T20" i="6" s="1"/>
  <c r="O17" i="2"/>
  <c r="O20" i="6" s="1"/>
  <c r="N20" i="6"/>
  <c r="M17" i="2"/>
  <c r="M20" i="6" s="1"/>
  <c r="S17" i="2"/>
  <c r="S20" i="6" s="1"/>
  <c r="Q17" i="2"/>
  <c r="Q20" i="6" s="1"/>
  <c r="P17" i="2"/>
  <c r="P20" i="6" s="1"/>
  <c r="R17" i="2"/>
  <c r="R20" i="6" s="1"/>
  <c r="N16" i="5"/>
  <c r="U16" i="5"/>
  <c r="T16" i="5"/>
  <c r="N16" i="4"/>
  <c r="T16" i="4"/>
  <c r="T16" i="3"/>
  <c r="J19" i="6"/>
  <c r="K16" i="2"/>
  <c r="K19" i="6" s="1"/>
  <c r="I19" i="6"/>
  <c r="S16" i="5"/>
  <c r="Q16" i="5"/>
  <c r="M16" i="5"/>
  <c r="R16" i="5"/>
  <c r="P16" i="5"/>
  <c r="O16" i="5"/>
  <c r="P16" i="4"/>
  <c r="R16" i="4"/>
  <c r="S16" i="4"/>
  <c r="M16" i="4"/>
  <c r="U16" i="4" s="1"/>
  <c r="O16" i="4"/>
  <c r="Q16" i="4"/>
  <c r="O16" i="3"/>
  <c r="P16" i="3"/>
  <c r="Q16" i="3"/>
  <c r="M16" i="3"/>
  <c r="U16" i="3" s="1"/>
  <c r="R16" i="3"/>
  <c r="S16" i="3"/>
  <c r="F18" i="6"/>
  <c r="H15" i="4"/>
  <c r="I15" i="4" s="1"/>
  <c r="K15" i="4" s="1"/>
  <c r="H15" i="2"/>
  <c r="G18" i="6"/>
  <c r="V18" i="6"/>
  <c r="H15" i="5"/>
  <c r="I15" i="5" s="1"/>
  <c r="J15" i="5" s="1"/>
  <c r="K15" i="3"/>
  <c r="J15" i="3"/>
  <c r="W17" i="6"/>
  <c r="D17" i="6"/>
  <c r="C17" i="6"/>
  <c r="B17" i="6"/>
  <c r="E14" i="5"/>
  <c r="F14" i="5" s="1"/>
  <c r="E14" i="4"/>
  <c r="E14" i="3"/>
  <c r="F14" i="3" s="1"/>
  <c r="E14" i="2"/>
  <c r="J15" i="4" l="1"/>
  <c r="L15" i="4" s="1"/>
  <c r="L16" i="2"/>
  <c r="K15" i="5"/>
  <c r="L15" i="5" s="1"/>
  <c r="N15" i="5" s="1"/>
  <c r="I15" i="2"/>
  <c r="H18" i="6"/>
  <c r="V14" i="4"/>
  <c r="F14" i="4"/>
  <c r="L15" i="3"/>
  <c r="G14" i="2"/>
  <c r="F14" i="2"/>
  <c r="E17" i="6"/>
  <c r="G14" i="5"/>
  <c r="H14" i="5" s="1"/>
  <c r="I14" i="5" s="1"/>
  <c r="V14" i="5"/>
  <c r="G14" i="4"/>
  <c r="V14" i="3"/>
  <c r="G14" i="3"/>
  <c r="V14" i="2"/>
  <c r="W16" i="6"/>
  <c r="D16" i="6"/>
  <c r="C16" i="6"/>
  <c r="B16" i="6"/>
  <c r="E13" i="5"/>
  <c r="G13" i="5" s="1"/>
  <c r="E13" i="4"/>
  <c r="E13" i="3"/>
  <c r="F13" i="3" s="1"/>
  <c r="E13" i="2"/>
  <c r="F13" i="2" s="1"/>
  <c r="M15" i="4" l="1"/>
  <c r="U15" i="4" s="1"/>
  <c r="O15" i="4"/>
  <c r="R15" i="4"/>
  <c r="Q15" i="4"/>
  <c r="P15" i="4"/>
  <c r="S15" i="4"/>
  <c r="U16" i="2"/>
  <c r="U19" i="6" s="1"/>
  <c r="T16" i="2"/>
  <c r="T19" i="6" s="1"/>
  <c r="L19" i="6"/>
  <c r="N16" i="2"/>
  <c r="N19" i="6" s="1"/>
  <c r="R16" i="2"/>
  <c r="R19" i="6" s="1"/>
  <c r="S16" i="2"/>
  <c r="S19" i="6" s="1"/>
  <c r="M16" i="2"/>
  <c r="M19" i="6" s="1"/>
  <c r="Q16" i="2"/>
  <c r="Q19" i="6" s="1"/>
  <c r="O16" i="2"/>
  <c r="O19" i="6" s="1"/>
  <c r="P16" i="2"/>
  <c r="P19" i="6" s="1"/>
  <c r="T15" i="4"/>
  <c r="N15" i="4"/>
  <c r="T15" i="3"/>
  <c r="N15" i="3"/>
  <c r="Q15" i="3"/>
  <c r="I18" i="6"/>
  <c r="K15" i="2"/>
  <c r="K18" i="6" s="1"/>
  <c r="J15" i="2"/>
  <c r="S15" i="5"/>
  <c r="O15" i="5"/>
  <c r="P15" i="5"/>
  <c r="Q15" i="5"/>
  <c r="R15" i="5"/>
  <c r="M15" i="5"/>
  <c r="R15" i="3"/>
  <c r="P15" i="3"/>
  <c r="S15" i="3"/>
  <c r="O15" i="3"/>
  <c r="M15" i="3"/>
  <c r="U15" i="3" s="1"/>
  <c r="V17" i="6"/>
  <c r="G17" i="6"/>
  <c r="H14" i="2"/>
  <c r="F17" i="6"/>
  <c r="K14" i="5"/>
  <c r="J14" i="5"/>
  <c r="H14" i="4"/>
  <c r="I14" i="4" s="1"/>
  <c r="K14" i="4" s="1"/>
  <c r="V13" i="4"/>
  <c r="F13" i="4"/>
  <c r="H14" i="3"/>
  <c r="I14" i="3" s="1"/>
  <c r="J14" i="3" s="1"/>
  <c r="E16" i="6"/>
  <c r="F13" i="5"/>
  <c r="H13" i="5" s="1"/>
  <c r="I13" i="5" s="1"/>
  <c r="V13" i="5"/>
  <c r="G13" i="4"/>
  <c r="G13" i="3"/>
  <c r="H13" i="3" s="1"/>
  <c r="I13" i="3" s="1"/>
  <c r="V13" i="3"/>
  <c r="V13" i="2"/>
  <c r="G13" i="2"/>
  <c r="W15" i="6"/>
  <c r="D15" i="6"/>
  <c r="C15" i="6"/>
  <c r="B15" i="6"/>
  <c r="E12" i="5"/>
  <c r="F12" i="5" s="1"/>
  <c r="E12" i="4"/>
  <c r="E12" i="3"/>
  <c r="E12" i="2"/>
  <c r="J18" i="6" l="1"/>
  <c r="L15" i="2"/>
  <c r="N15" i="2" s="1"/>
  <c r="I14" i="2"/>
  <c r="H17" i="6"/>
  <c r="L14" i="5"/>
  <c r="T14" i="5" s="1"/>
  <c r="J14" i="4"/>
  <c r="L14" i="4" s="1"/>
  <c r="K14" i="3"/>
  <c r="L14" i="3" s="1"/>
  <c r="F16" i="6"/>
  <c r="V16" i="6"/>
  <c r="H13" i="2"/>
  <c r="G16" i="6"/>
  <c r="K13" i="5"/>
  <c r="J13" i="5"/>
  <c r="H13" i="4"/>
  <c r="I13" i="4" s="1"/>
  <c r="K13" i="4" s="1"/>
  <c r="K13" i="3"/>
  <c r="J13" i="3"/>
  <c r="V12" i="4"/>
  <c r="F12" i="4"/>
  <c r="E15" i="6"/>
  <c r="V12" i="5"/>
  <c r="G12" i="5"/>
  <c r="G12" i="4"/>
  <c r="F12" i="3"/>
  <c r="V12" i="3"/>
  <c r="G12" i="3"/>
  <c r="F12" i="2"/>
  <c r="V12" i="2"/>
  <c r="G12" i="2"/>
  <c r="L13" i="3" l="1"/>
  <c r="M13" i="3" s="1"/>
  <c r="U13" i="3" s="1"/>
  <c r="U15" i="2"/>
  <c r="U18" i="6" s="1"/>
  <c r="L18" i="6"/>
  <c r="Q15" i="2"/>
  <c r="Q18" i="6" s="1"/>
  <c r="S15" i="2"/>
  <c r="S18" i="6" s="1"/>
  <c r="M15" i="2"/>
  <c r="M18" i="6" s="1"/>
  <c r="P15" i="2"/>
  <c r="P18" i="6" s="1"/>
  <c r="R15" i="2"/>
  <c r="R18" i="6" s="1"/>
  <c r="N18" i="6"/>
  <c r="O15" i="2"/>
  <c r="O18" i="6" s="1"/>
  <c r="T15" i="2"/>
  <c r="T18" i="6" s="1"/>
  <c r="T14" i="4"/>
  <c r="N14" i="4"/>
  <c r="N14" i="3"/>
  <c r="T14" i="3"/>
  <c r="N14" i="5"/>
  <c r="I17" i="6"/>
  <c r="K14" i="2"/>
  <c r="K17" i="6" s="1"/>
  <c r="J14" i="2"/>
  <c r="O14" i="5"/>
  <c r="P14" i="5"/>
  <c r="S14" i="5"/>
  <c r="Q14" i="5"/>
  <c r="R14" i="5"/>
  <c r="M14" i="5"/>
  <c r="U14" i="5" s="1"/>
  <c r="S14" i="4"/>
  <c r="R14" i="4"/>
  <c r="Q14" i="4"/>
  <c r="M14" i="4"/>
  <c r="U14" i="4" s="1"/>
  <c r="P14" i="4"/>
  <c r="O14" i="4"/>
  <c r="S14" i="3"/>
  <c r="R14" i="3"/>
  <c r="Q14" i="3"/>
  <c r="M14" i="3"/>
  <c r="U14" i="3" s="1"/>
  <c r="P14" i="3"/>
  <c r="O14" i="3"/>
  <c r="I13" i="2"/>
  <c r="H16" i="6"/>
  <c r="L13" i="5"/>
  <c r="N13" i="5" s="1"/>
  <c r="J13" i="4"/>
  <c r="L13" i="4" s="1"/>
  <c r="F15" i="6"/>
  <c r="G15" i="6"/>
  <c r="V15" i="6"/>
  <c r="H12" i="5"/>
  <c r="I12" i="5" s="1"/>
  <c r="J12" i="5" s="1"/>
  <c r="H12" i="4"/>
  <c r="I12" i="4" s="1"/>
  <c r="H12" i="3"/>
  <c r="I12" i="3" s="1"/>
  <c r="J12" i="3" s="1"/>
  <c r="H12" i="2"/>
  <c r="O13" i="3" l="1"/>
  <c r="R13" i="3"/>
  <c r="N13" i="3"/>
  <c r="T13" i="3"/>
  <c r="P13" i="3"/>
  <c r="Q13" i="3"/>
  <c r="S13" i="3"/>
  <c r="J17" i="6"/>
  <c r="L14" i="2"/>
  <c r="T13" i="4"/>
  <c r="N13" i="4"/>
  <c r="R13" i="5"/>
  <c r="I16" i="6"/>
  <c r="K13" i="2"/>
  <c r="K16" i="6" s="1"/>
  <c r="J13" i="2"/>
  <c r="O13" i="5"/>
  <c r="T13" i="5"/>
  <c r="S13" i="5"/>
  <c r="P13" i="5"/>
  <c r="M13" i="5"/>
  <c r="U13" i="5" s="1"/>
  <c r="Q13" i="5"/>
  <c r="O13" i="4"/>
  <c r="S13" i="4"/>
  <c r="P13" i="4"/>
  <c r="Q13" i="4"/>
  <c r="R13" i="4"/>
  <c r="M13" i="4"/>
  <c r="U13" i="4" s="1"/>
  <c r="K12" i="3"/>
  <c r="L12" i="3" s="1"/>
  <c r="N12" i="3" s="1"/>
  <c r="I12" i="2"/>
  <c r="K12" i="2" s="1"/>
  <c r="H15" i="6"/>
  <c r="K12" i="5"/>
  <c r="L12" i="5" s="1"/>
  <c r="N12" i="5" s="1"/>
  <c r="J12" i="4"/>
  <c r="K12" i="4"/>
  <c r="W14" i="6"/>
  <c r="D14" i="6"/>
  <c r="C14" i="6"/>
  <c r="B14" i="6"/>
  <c r="E11" i="5"/>
  <c r="F11" i="5" s="1"/>
  <c r="E11" i="4"/>
  <c r="F11" i="4" s="1"/>
  <c r="E11" i="3"/>
  <c r="E11" i="2"/>
  <c r="P14" i="2" l="1"/>
  <c r="P17" i="6" s="1"/>
  <c r="T14" i="2"/>
  <c r="T17" i="6" s="1"/>
  <c r="N14" i="2"/>
  <c r="N17" i="6" s="1"/>
  <c r="L17" i="6"/>
  <c r="U14" i="2"/>
  <c r="U17" i="6" s="1"/>
  <c r="S14" i="2"/>
  <c r="S17" i="6" s="1"/>
  <c r="M14" i="2"/>
  <c r="M17" i="6" s="1"/>
  <c r="O14" i="2"/>
  <c r="O17" i="6" s="1"/>
  <c r="R14" i="2"/>
  <c r="R17" i="6" s="1"/>
  <c r="Q14" i="2"/>
  <c r="Q17" i="6" s="1"/>
  <c r="L13" i="2"/>
  <c r="J16" i="6"/>
  <c r="R12" i="3"/>
  <c r="S12" i="3"/>
  <c r="P12" i="3"/>
  <c r="M12" i="3"/>
  <c r="U12" i="3" s="1"/>
  <c r="O12" i="3"/>
  <c r="Q12" i="3"/>
  <c r="T12" i="3"/>
  <c r="K15" i="6"/>
  <c r="J12" i="2"/>
  <c r="J15" i="6" s="1"/>
  <c r="I15" i="6"/>
  <c r="T12" i="5"/>
  <c r="S12" i="5"/>
  <c r="R12" i="5"/>
  <c r="P12" i="5"/>
  <c r="O12" i="5"/>
  <c r="M12" i="5"/>
  <c r="U12" i="5" s="1"/>
  <c r="Q12" i="5"/>
  <c r="L12" i="4"/>
  <c r="E14" i="6"/>
  <c r="V11" i="5"/>
  <c r="G11" i="5"/>
  <c r="V11" i="4"/>
  <c r="G11" i="4"/>
  <c r="F11" i="3"/>
  <c r="V11" i="3"/>
  <c r="G11" i="3"/>
  <c r="F11" i="2"/>
  <c r="V11" i="2"/>
  <c r="G11" i="2"/>
  <c r="T13" i="2" l="1"/>
  <c r="T16" i="6" s="1"/>
  <c r="N13" i="2"/>
  <c r="N16" i="6" s="1"/>
  <c r="U13" i="2"/>
  <c r="U16" i="6" s="1"/>
  <c r="L16" i="6"/>
  <c r="O13" i="2"/>
  <c r="O16" i="6" s="1"/>
  <c r="S13" i="2"/>
  <c r="S16" i="6" s="1"/>
  <c r="Q13" i="2"/>
  <c r="Q16" i="6" s="1"/>
  <c r="P13" i="2"/>
  <c r="P16" i="6" s="1"/>
  <c r="M13" i="2"/>
  <c r="M16" i="6" s="1"/>
  <c r="R13" i="2"/>
  <c r="R16" i="6" s="1"/>
  <c r="N12" i="4"/>
  <c r="T12" i="4"/>
  <c r="L12" i="2"/>
  <c r="N12" i="2" s="1"/>
  <c r="S12" i="4"/>
  <c r="P12" i="4"/>
  <c r="Q12" i="4"/>
  <c r="R12" i="4"/>
  <c r="M12" i="4"/>
  <c r="U12" i="4" s="1"/>
  <c r="O12" i="4"/>
  <c r="F14" i="6"/>
  <c r="G14" i="6"/>
  <c r="V14" i="6"/>
  <c r="H11" i="5"/>
  <c r="I11" i="5" s="1"/>
  <c r="J11" i="5" s="1"/>
  <c r="H11" i="4"/>
  <c r="I11" i="4" s="1"/>
  <c r="J11" i="4" s="1"/>
  <c r="H11" i="3"/>
  <c r="I11" i="3" s="1"/>
  <c r="J11" i="3" s="1"/>
  <c r="H11" i="2"/>
  <c r="W13" i="6"/>
  <c r="D13" i="6"/>
  <c r="C13" i="6"/>
  <c r="B13" i="6"/>
  <c r="E10" i="5"/>
  <c r="E10" i="4"/>
  <c r="F10" i="4" s="1"/>
  <c r="E10" i="3"/>
  <c r="F10" i="3" s="1"/>
  <c r="E10" i="2"/>
  <c r="V10" i="5" l="1"/>
  <c r="F10" i="5"/>
  <c r="U12" i="2"/>
  <c r="U15" i="6" s="1"/>
  <c r="T12" i="2"/>
  <c r="T15" i="6" s="1"/>
  <c r="L15" i="6"/>
  <c r="N15" i="6"/>
  <c r="S12" i="2"/>
  <c r="S15" i="6" s="1"/>
  <c r="O12" i="2"/>
  <c r="O15" i="6" s="1"/>
  <c r="Q12" i="2"/>
  <c r="Q15" i="6" s="1"/>
  <c r="P12" i="2"/>
  <c r="P15" i="6" s="1"/>
  <c r="M12" i="2"/>
  <c r="M15" i="6" s="1"/>
  <c r="R12" i="2"/>
  <c r="R15" i="6" s="1"/>
  <c r="I11" i="2"/>
  <c r="K11" i="2" s="1"/>
  <c r="H14" i="6"/>
  <c r="K11" i="5"/>
  <c r="L11" i="5" s="1"/>
  <c r="N11" i="5" s="1"/>
  <c r="K11" i="4"/>
  <c r="L11" i="4" s="1"/>
  <c r="K11" i="3"/>
  <c r="L11" i="3" s="1"/>
  <c r="N11" i="3" s="1"/>
  <c r="E13" i="6"/>
  <c r="G10" i="5"/>
  <c r="V10" i="4"/>
  <c r="G10" i="4"/>
  <c r="V10" i="3"/>
  <c r="G10" i="3"/>
  <c r="H10" i="3" s="1"/>
  <c r="I10" i="3" s="1"/>
  <c r="F10" i="2"/>
  <c r="V10" i="2"/>
  <c r="G10" i="2"/>
  <c r="H10" i="5" l="1"/>
  <c r="I10" i="5" s="1"/>
  <c r="K10" i="5" s="1"/>
  <c r="M11" i="5"/>
  <c r="U11" i="5" s="1"/>
  <c r="T11" i="4"/>
  <c r="N11" i="4"/>
  <c r="K14" i="6"/>
  <c r="J11" i="2"/>
  <c r="J14" i="6" s="1"/>
  <c r="I14" i="6"/>
  <c r="P11" i="5"/>
  <c r="Q11" i="5"/>
  <c r="O11" i="5"/>
  <c r="R11" i="5"/>
  <c r="S11" i="5"/>
  <c r="T11" i="5"/>
  <c r="M11" i="4"/>
  <c r="U11" i="4" s="1"/>
  <c r="O11" i="4"/>
  <c r="S11" i="4"/>
  <c r="R11" i="4"/>
  <c r="P11" i="4"/>
  <c r="Q11" i="4"/>
  <c r="T11" i="3"/>
  <c r="Q11" i="3"/>
  <c r="M11" i="3"/>
  <c r="U11" i="3" s="1"/>
  <c r="S11" i="3"/>
  <c r="R11" i="3"/>
  <c r="P11" i="3"/>
  <c r="O11" i="3"/>
  <c r="F13" i="6"/>
  <c r="G13" i="6"/>
  <c r="V13" i="6"/>
  <c r="H10" i="4"/>
  <c r="I10" i="4" s="1"/>
  <c r="K10" i="4" s="1"/>
  <c r="K10" i="3"/>
  <c r="J10" i="3"/>
  <c r="H10" i="2"/>
  <c r="W12" i="6"/>
  <c r="D12" i="6"/>
  <c r="C12" i="6"/>
  <c r="B12" i="6"/>
  <c r="E9" i="5"/>
  <c r="E9" i="4"/>
  <c r="E9" i="3"/>
  <c r="A8" i="2"/>
  <c r="A9" i="2" s="1"/>
  <c r="E9" i="2"/>
  <c r="F9" i="2" s="1"/>
  <c r="J10" i="5" l="1"/>
  <c r="L10" i="5" s="1"/>
  <c r="N10" i="5" s="1"/>
  <c r="A10" i="2"/>
  <c r="A10" i="5" s="1"/>
  <c r="A9" i="4"/>
  <c r="A12" i="6"/>
  <c r="V9" i="5"/>
  <c r="F9" i="5"/>
  <c r="A9" i="3"/>
  <c r="V9" i="3"/>
  <c r="F9" i="3"/>
  <c r="A9" i="5"/>
  <c r="L11" i="2"/>
  <c r="V9" i="4"/>
  <c r="F9" i="4"/>
  <c r="I10" i="2"/>
  <c r="J10" i="2" s="1"/>
  <c r="H13" i="6"/>
  <c r="J10" i="4"/>
  <c r="L10" i="4" s="1"/>
  <c r="L10" i="3"/>
  <c r="E12" i="6"/>
  <c r="V9" i="2"/>
  <c r="G9" i="5"/>
  <c r="G9" i="4"/>
  <c r="G9" i="3"/>
  <c r="G9" i="2"/>
  <c r="O10" i="5" l="1"/>
  <c r="P10" i="5"/>
  <c r="Q10" i="5"/>
  <c r="R10" i="5"/>
  <c r="T10" i="5"/>
  <c r="M10" i="5"/>
  <c r="U10" i="5" s="1"/>
  <c r="S10" i="5"/>
  <c r="A10" i="3"/>
  <c r="A13" i="6"/>
  <c r="H9" i="3"/>
  <c r="I9" i="3" s="1"/>
  <c r="J9" i="3" s="1"/>
  <c r="A10" i="4"/>
  <c r="A11" i="2"/>
  <c r="A11" i="5" s="1"/>
  <c r="H9" i="5"/>
  <c r="I9" i="5" s="1"/>
  <c r="K9" i="5" s="1"/>
  <c r="V12" i="6"/>
  <c r="U11" i="2"/>
  <c r="U14" i="6" s="1"/>
  <c r="T11" i="2"/>
  <c r="T14" i="6" s="1"/>
  <c r="R10" i="3"/>
  <c r="N10" i="3"/>
  <c r="N10" i="4"/>
  <c r="T10" i="4"/>
  <c r="L14" i="6"/>
  <c r="M11" i="2"/>
  <c r="M14" i="6" s="1"/>
  <c r="Q11" i="2"/>
  <c r="Q14" i="6" s="1"/>
  <c r="R11" i="2"/>
  <c r="R14" i="6" s="1"/>
  <c r="P11" i="2"/>
  <c r="P14" i="6" s="1"/>
  <c r="S11" i="2"/>
  <c r="S14" i="6" s="1"/>
  <c r="N11" i="2"/>
  <c r="N14" i="6" s="1"/>
  <c r="O11" i="2"/>
  <c r="O14" i="6" s="1"/>
  <c r="Q10" i="3"/>
  <c r="P10" i="3"/>
  <c r="S10" i="3"/>
  <c r="J13" i="6"/>
  <c r="K10" i="2"/>
  <c r="K13" i="6" s="1"/>
  <c r="I13" i="6"/>
  <c r="S10" i="4"/>
  <c r="R10" i="4"/>
  <c r="Q10" i="4"/>
  <c r="P10" i="4"/>
  <c r="O10" i="4"/>
  <c r="M10" i="4"/>
  <c r="U10" i="4" s="1"/>
  <c r="O10" i="3"/>
  <c r="T10" i="3"/>
  <c r="M10" i="3"/>
  <c r="U10" i="3" s="1"/>
  <c r="F12" i="6"/>
  <c r="H9" i="4"/>
  <c r="I9" i="4" s="1"/>
  <c r="K9" i="4" s="1"/>
  <c r="G12" i="6"/>
  <c r="H9" i="2"/>
  <c r="A14" i="6" l="1"/>
  <c r="A11" i="4"/>
  <c r="J9" i="5"/>
  <c r="L9" i="5" s="1"/>
  <c r="R9" i="5" s="1"/>
  <c r="A11" i="3"/>
  <c r="A12" i="2"/>
  <c r="A13" i="2" s="1"/>
  <c r="A13" i="5" s="1"/>
  <c r="K9" i="3"/>
  <c r="L9" i="3" s="1"/>
  <c r="N9" i="3" s="1"/>
  <c r="L10" i="2"/>
  <c r="J9" i="4"/>
  <c r="L9" i="4" s="1"/>
  <c r="Q9" i="4" s="1"/>
  <c r="I9" i="2"/>
  <c r="H12" i="6"/>
  <c r="A14" i="2" l="1"/>
  <c r="A14" i="3" s="1"/>
  <c r="A15" i="6"/>
  <c r="A13" i="3"/>
  <c r="A12" i="3"/>
  <c r="A16" i="6"/>
  <c r="A13" i="4"/>
  <c r="A12" i="5"/>
  <c r="A12" i="4"/>
  <c r="O9" i="5"/>
  <c r="T9" i="5"/>
  <c r="N9" i="5"/>
  <c r="S9" i="4"/>
  <c r="P9" i="5"/>
  <c r="Q9" i="5"/>
  <c r="M9" i="5"/>
  <c r="U9" i="5" s="1"/>
  <c r="S9" i="5"/>
  <c r="M9" i="4"/>
  <c r="U9" i="4" s="1"/>
  <c r="O9" i="4"/>
  <c r="P9" i="4"/>
  <c r="R9" i="4"/>
  <c r="N9" i="4"/>
  <c r="T9" i="4"/>
  <c r="N10" i="2"/>
  <c r="N13" i="6" s="1"/>
  <c r="U10" i="2"/>
  <c r="U13" i="6" s="1"/>
  <c r="L13" i="6"/>
  <c r="T10" i="2"/>
  <c r="T13" i="6" s="1"/>
  <c r="R10" i="2"/>
  <c r="R13" i="6" s="1"/>
  <c r="S10" i="2"/>
  <c r="S13" i="6" s="1"/>
  <c r="O10" i="2"/>
  <c r="O13" i="6" s="1"/>
  <c r="Q10" i="2"/>
  <c r="Q13" i="6" s="1"/>
  <c r="M10" i="2"/>
  <c r="M13" i="6" s="1"/>
  <c r="P10" i="2"/>
  <c r="P13" i="6" s="1"/>
  <c r="I12" i="6"/>
  <c r="K9" i="2"/>
  <c r="K12" i="6" s="1"/>
  <c r="J9" i="2"/>
  <c r="T9" i="3"/>
  <c r="S9" i="3"/>
  <c r="R9" i="3"/>
  <c r="Q9" i="3"/>
  <c r="P9" i="3"/>
  <c r="O9" i="3"/>
  <c r="M9" i="3"/>
  <c r="U9" i="3" s="1"/>
  <c r="A14" i="4" l="1"/>
  <c r="A15" i="2"/>
  <c r="A15" i="4" s="1"/>
  <c r="A14" i="5"/>
  <c r="A17" i="6"/>
  <c r="L9" i="2"/>
  <c r="J12" i="6"/>
  <c r="A15" i="3" l="1"/>
  <c r="A18" i="6"/>
  <c r="A16" i="2"/>
  <c r="A16" i="3" s="1"/>
  <c r="A15" i="5"/>
  <c r="U9" i="2"/>
  <c r="U12" i="6" s="1"/>
  <c r="T9" i="2"/>
  <c r="T12" i="6" s="1"/>
  <c r="N9" i="2"/>
  <c r="N12" i="6" s="1"/>
  <c r="L12" i="6"/>
  <c r="O9" i="2"/>
  <c r="O12" i="6" s="1"/>
  <c r="M9" i="2"/>
  <c r="M12" i="6" s="1"/>
  <c r="S9" i="2"/>
  <c r="S12" i="6" s="1"/>
  <c r="R9" i="2"/>
  <c r="R12" i="6" s="1"/>
  <c r="Q9" i="2"/>
  <c r="Q12" i="6" s="1"/>
  <c r="P9" i="2"/>
  <c r="P12" i="6" s="1"/>
  <c r="A19" i="6" l="1"/>
  <c r="A16" i="4"/>
  <c r="A16" i="5"/>
  <c r="A17" i="2"/>
  <c r="A18" i="2" s="1"/>
  <c r="W11" i="6"/>
  <c r="D11" i="6"/>
  <c r="C11" i="6"/>
  <c r="B11" i="6"/>
  <c r="A11" i="6"/>
  <c r="E8" i="5"/>
  <c r="F8" i="5" s="1"/>
  <c r="A8" i="5"/>
  <c r="E8" i="4"/>
  <c r="F8" i="4" s="1"/>
  <c r="A8" i="4"/>
  <c r="E8" i="3"/>
  <c r="F8" i="3" s="1"/>
  <c r="A8" i="3"/>
  <c r="E8" i="2"/>
  <c r="A17" i="4" l="1"/>
  <c r="A20" i="6"/>
  <c r="A17" i="5"/>
  <c r="A17" i="3"/>
  <c r="A19" i="2"/>
  <c r="A21" i="6"/>
  <c r="A18" i="5"/>
  <c r="A18" i="4"/>
  <c r="A18" i="3"/>
  <c r="G8" i="2"/>
  <c r="F8" i="2"/>
  <c r="F11" i="6" s="1"/>
  <c r="E11" i="6"/>
  <c r="V8" i="5"/>
  <c r="G8" i="5"/>
  <c r="V8" i="4"/>
  <c r="G8" i="4"/>
  <c r="V8" i="3"/>
  <c r="G8" i="3"/>
  <c r="V8" i="2"/>
  <c r="A20" i="2" l="1"/>
  <c r="A22" i="6"/>
  <c r="A19" i="3"/>
  <c r="A19" i="5"/>
  <c r="A19" i="4"/>
  <c r="G11" i="6"/>
  <c r="H8" i="3"/>
  <c r="I8" i="3" s="1"/>
  <c r="K8" i="3" s="1"/>
  <c r="H8" i="2"/>
  <c r="V11" i="6"/>
  <c r="H8" i="5"/>
  <c r="I8" i="5" s="1"/>
  <c r="J8" i="5" s="1"/>
  <c r="H8" i="4"/>
  <c r="I8" i="4" s="1"/>
  <c r="K8" i="4" s="1"/>
  <c r="W10" i="6"/>
  <c r="D10" i="6"/>
  <c r="C10" i="6"/>
  <c r="B10" i="6"/>
  <c r="A10" i="6"/>
  <c r="E7" i="5"/>
  <c r="V7" i="5" s="1"/>
  <c r="A7" i="5"/>
  <c r="E7" i="4"/>
  <c r="A7" i="4"/>
  <c r="E7" i="3"/>
  <c r="F7" i="3" s="1"/>
  <c r="A7" i="3"/>
  <c r="E7" i="2"/>
  <c r="F7" i="2" s="1"/>
  <c r="A21" i="2" l="1"/>
  <c r="A23" i="6"/>
  <c r="A20" i="3"/>
  <c r="A20" i="5"/>
  <c r="A20" i="4"/>
  <c r="J8" i="3"/>
  <c r="L8" i="3" s="1"/>
  <c r="N8" i="3" s="1"/>
  <c r="G7" i="4"/>
  <c r="F7" i="4"/>
  <c r="E10" i="6"/>
  <c r="I8" i="2"/>
  <c r="H11" i="6"/>
  <c r="K8" i="5"/>
  <c r="L8" i="5" s="1"/>
  <c r="T8" i="5" s="1"/>
  <c r="J8" i="4"/>
  <c r="L8" i="4" s="1"/>
  <c r="G7" i="5"/>
  <c r="F7" i="5"/>
  <c r="V7" i="4"/>
  <c r="G7" i="3"/>
  <c r="H7" i="3" s="1"/>
  <c r="I7" i="3" s="1"/>
  <c r="J7" i="3" s="1"/>
  <c r="V7" i="3"/>
  <c r="V7" i="2"/>
  <c r="G7" i="2"/>
  <c r="A22" i="2" l="1"/>
  <c r="A24" i="6"/>
  <c r="A21" i="4"/>
  <c r="A21" i="3"/>
  <c r="A21" i="5"/>
  <c r="H7" i="4"/>
  <c r="I7" i="4" s="1"/>
  <c r="K7" i="4" s="1"/>
  <c r="H7" i="5"/>
  <c r="I7" i="5" s="1"/>
  <c r="K7" i="5" s="1"/>
  <c r="T8" i="4"/>
  <c r="N8" i="4"/>
  <c r="N8" i="5"/>
  <c r="P8" i="4"/>
  <c r="T8" i="3"/>
  <c r="I11" i="6"/>
  <c r="J8" i="2"/>
  <c r="K8" i="2"/>
  <c r="K11" i="6" s="1"/>
  <c r="M8" i="5"/>
  <c r="U8" i="5" s="1"/>
  <c r="S8" i="5"/>
  <c r="P8" i="5"/>
  <c r="R8" i="5"/>
  <c r="Q8" i="5"/>
  <c r="O8" i="5"/>
  <c r="Q8" i="4"/>
  <c r="M8" i="4"/>
  <c r="U8" i="4" s="1"/>
  <c r="R8" i="4"/>
  <c r="S8" i="4"/>
  <c r="O8" i="4"/>
  <c r="M8" i="3"/>
  <c r="U8" i="3" s="1"/>
  <c r="R8" i="3"/>
  <c r="O8" i="3"/>
  <c r="P8" i="3"/>
  <c r="Q8" i="3"/>
  <c r="S8" i="3"/>
  <c r="V10" i="6"/>
  <c r="K7" i="3"/>
  <c r="L7" i="3" s="1"/>
  <c r="G10" i="6"/>
  <c r="H7" i="2"/>
  <c r="F10" i="6"/>
  <c r="J7" i="4" l="1"/>
  <c r="L7" i="4" s="1"/>
  <c r="N7" i="4" s="1"/>
  <c r="A23" i="2"/>
  <c r="A22" i="5"/>
  <c r="A22" i="4"/>
  <c r="A22" i="3"/>
  <c r="A25" i="6"/>
  <c r="J7" i="5"/>
  <c r="L7" i="5" s="1"/>
  <c r="T7" i="3"/>
  <c r="N7" i="3"/>
  <c r="J11" i="6"/>
  <c r="L8" i="2"/>
  <c r="N8" i="2" s="1"/>
  <c r="M7" i="3"/>
  <c r="U7" i="3" s="1"/>
  <c r="I7" i="2"/>
  <c r="H10" i="6"/>
  <c r="P7" i="3"/>
  <c r="O7" i="3"/>
  <c r="Q7" i="3"/>
  <c r="R7" i="3"/>
  <c r="S7" i="3"/>
  <c r="A6" i="5"/>
  <c r="R7" i="4" l="1"/>
  <c r="P7" i="4"/>
  <c r="Q7" i="4"/>
  <c r="M7" i="4"/>
  <c r="U7" i="4" s="1"/>
  <c r="O7" i="4"/>
  <c r="T7" i="4"/>
  <c r="S7" i="4"/>
  <c r="A24" i="2"/>
  <c r="A26" i="6"/>
  <c r="A23" i="3"/>
  <c r="A23" i="5"/>
  <c r="A23" i="4"/>
  <c r="T7" i="5"/>
  <c r="N7" i="5"/>
  <c r="R8" i="2"/>
  <c r="R11" i="6" s="1"/>
  <c r="U8" i="2"/>
  <c r="U11" i="6" s="1"/>
  <c r="L11" i="6"/>
  <c r="T8" i="2"/>
  <c r="T11" i="6" s="1"/>
  <c r="Q8" i="2"/>
  <c r="Q11" i="6" s="1"/>
  <c r="P8" i="2"/>
  <c r="P11" i="6" s="1"/>
  <c r="O8" i="2"/>
  <c r="O11" i="6" s="1"/>
  <c r="N11" i="6"/>
  <c r="M8" i="2"/>
  <c r="M11" i="6" s="1"/>
  <c r="S8" i="2"/>
  <c r="S11" i="6" s="1"/>
  <c r="I10" i="6"/>
  <c r="K7" i="2"/>
  <c r="K10" i="6" s="1"/>
  <c r="J7" i="2"/>
  <c r="M7" i="5"/>
  <c r="U7" i="5" s="1"/>
  <c r="S7" i="5"/>
  <c r="R7" i="5"/>
  <c r="Q7" i="5"/>
  <c r="P7" i="5"/>
  <c r="O7" i="5"/>
  <c r="B9" i="6"/>
  <c r="C9" i="6"/>
  <c r="D9" i="6"/>
  <c r="A25" i="2" l="1"/>
  <c r="A24" i="5"/>
  <c r="A24" i="3"/>
  <c r="A24" i="4"/>
  <c r="A27" i="6"/>
  <c r="L7" i="2"/>
  <c r="J10" i="6"/>
  <c r="W54" i="2"/>
  <c r="A26" i="2" l="1"/>
  <c r="A25" i="4"/>
  <c r="A28" i="6"/>
  <c r="A25" i="5"/>
  <c r="A25" i="3"/>
  <c r="U7" i="2"/>
  <c r="U10" i="6" s="1"/>
  <c r="T7" i="2"/>
  <c r="T10" i="6" s="1"/>
  <c r="L10" i="6"/>
  <c r="S7" i="2"/>
  <c r="S10" i="6" s="1"/>
  <c r="R7" i="2"/>
  <c r="R10" i="6" s="1"/>
  <c r="P7" i="2"/>
  <c r="P10" i="6" s="1"/>
  <c r="O7" i="2"/>
  <c r="O10" i="6" s="1"/>
  <c r="M7" i="2"/>
  <c r="M10" i="6" s="1"/>
  <c r="N7" i="2"/>
  <c r="N10" i="6" s="1"/>
  <c r="Q7" i="2"/>
  <c r="Q10" i="6" s="1"/>
  <c r="W54" i="5"/>
  <c r="A27" i="2" l="1"/>
  <c r="A29" i="6"/>
  <c r="A26" i="3"/>
  <c r="A26" i="4"/>
  <c r="A26" i="5"/>
  <c r="B54" i="3"/>
  <c r="A28" i="2" l="1"/>
  <c r="A27" i="5"/>
  <c r="A27" i="4"/>
  <c r="A27" i="3"/>
  <c r="A30" i="6"/>
  <c r="A9" i="6"/>
  <c r="A29" i="2" l="1"/>
  <c r="A28" i="3"/>
  <c r="A28" i="5"/>
  <c r="A28" i="4"/>
  <c r="A31" i="6"/>
  <c r="D54" i="5"/>
  <c r="C54" i="5"/>
  <c r="B54" i="5"/>
  <c r="E6" i="5"/>
  <c r="E54" i="5" s="1"/>
  <c r="A6" i="3"/>
  <c r="A6" i="4"/>
  <c r="W54" i="4"/>
  <c r="D54" i="4"/>
  <c r="C54" i="4"/>
  <c r="B54" i="4"/>
  <c r="E6" i="4"/>
  <c r="W54" i="3"/>
  <c r="D54" i="3"/>
  <c r="C54" i="3"/>
  <c r="E6" i="3"/>
  <c r="E54" i="3" s="1"/>
  <c r="A30" i="2" l="1"/>
  <c r="A29" i="5"/>
  <c r="A29" i="4"/>
  <c r="A29" i="3"/>
  <c r="A32" i="6"/>
  <c r="E54" i="4"/>
  <c r="F6" i="4"/>
  <c r="F54" i="4" s="1"/>
  <c r="G6" i="5"/>
  <c r="G54" i="5" s="1"/>
  <c r="V6" i="5"/>
  <c r="V54" i="5" s="1"/>
  <c r="F6" i="5"/>
  <c r="F54" i="5" s="1"/>
  <c r="V6" i="4"/>
  <c r="V54" i="4" s="1"/>
  <c r="G6" i="4"/>
  <c r="G54" i="4" s="1"/>
  <c r="V6" i="3"/>
  <c r="V54" i="3" s="1"/>
  <c r="F6" i="3"/>
  <c r="F54" i="3" s="1"/>
  <c r="G6" i="3"/>
  <c r="G54" i="3" s="1"/>
  <c r="A31" i="2" l="1"/>
  <c r="A33" i="6"/>
  <c r="A30" i="4"/>
  <c r="A30" i="5"/>
  <c r="A30" i="3"/>
  <c r="H6" i="5"/>
  <c r="H54" i="5" s="1"/>
  <c r="H6" i="4"/>
  <c r="H6" i="3"/>
  <c r="A32" i="2" l="1"/>
  <c r="A31" i="4"/>
  <c r="A31" i="3"/>
  <c r="A31" i="5"/>
  <c r="A34" i="6"/>
  <c r="I6" i="5"/>
  <c r="J6" i="5" s="1"/>
  <c r="I6" i="4"/>
  <c r="H54" i="4"/>
  <c r="I6" i="3"/>
  <c r="H54" i="3"/>
  <c r="A33" i="2" l="1"/>
  <c r="A35" i="6"/>
  <c r="A32" i="5"/>
  <c r="A32" i="4"/>
  <c r="A32" i="3"/>
  <c r="K6" i="5"/>
  <c r="K54" i="5" s="1"/>
  <c r="I54" i="5"/>
  <c r="J54" i="5"/>
  <c r="J6" i="4"/>
  <c r="I54" i="4"/>
  <c r="K6" i="4"/>
  <c r="K54" i="4" s="1"/>
  <c r="K6" i="3"/>
  <c r="K54" i="3" s="1"/>
  <c r="J6" i="3"/>
  <c r="I54" i="3"/>
  <c r="A34" i="2" l="1"/>
  <c r="A36" i="6"/>
  <c r="A33" i="3"/>
  <c r="A33" i="5"/>
  <c r="A33" i="4"/>
  <c r="L6" i="5"/>
  <c r="Q6" i="5" s="1"/>
  <c r="Q54" i="5" s="1"/>
  <c r="J54" i="4"/>
  <c r="L6" i="4"/>
  <c r="J54" i="3"/>
  <c r="L6" i="3"/>
  <c r="N6" i="3" s="1"/>
  <c r="A35" i="2" l="1"/>
  <c r="A34" i="5"/>
  <c r="A34" i="4"/>
  <c r="A37" i="6"/>
  <c r="A34" i="3"/>
  <c r="M6" i="5"/>
  <c r="M54" i="5" s="1"/>
  <c r="R6" i="5"/>
  <c r="R54" i="5" s="1"/>
  <c r="S6" i="5"/>
  <c r="S54" i="5" s="1"/>
  <c r="P6" i="5"/>
  <c r="P54" i="5" s="1"/>
  <c r="L54" i="5"/>
  <c r="O6" i="5"/>
  <c r="O54" i="5" s="1"/>
  <c r="N6" i="5"/>
  <c r="N54" i="5" s="1"/>
  <c r="T6" i="5"/>
  <c r="T54" i="5" s="1"/>
  <c r="T6" i="4"/>
  <c r="N6" i="4"/>
  <c r="N54" i="4" s="1"/>
  <c r="T6" i="3"/>
  <c r="T54" i="3" s="1"/>
  <c r="Q6" i="4"/>
  <c r="Q54" i="4" s="1"/>
  <c r="O6" i="3"/>
  <c r="O54" i="3" s="1"/>
  <c r="R6" i="4"/>
  <c r="R54" i="4" s="1"/>
  <c r="L54" i="4"/>
  <c r="P6" i="4"/>
  <c r="P54" i="4" s="1"/>
  <c r="M6" i="4"/>
  <c r="O6" i="4"/>
  <c r="O54" i="4" s="1"/>
  <c r="S6" i="4"/>
  <c r="S54" i="4" s="1"/>
  <c r="L54" i="3"/>
  <c r="P6" i="3"/>
  <c r="P54" i="3" s="1"/>
  <c r="R6" i="3"/>
  <c r="R54" i="3" s="1"/>
  <c r="Q6" i="3"/>
  <c r="Q54" i="3" s="1"/>
  <c r="N54" i="3"/>
  <c r="M6" i="3"/>
  <c r="S6" i="3"/>
  <c r="S54" i="3" s="1"/>
  <c r="A38" i="6" l="1"/>
  <c r="A36" i="2"/>
  <c r="A35" i="5"/>
  <c r="A35" i="4"/>
  <c r="A35" i="3"/>
  <c r="U6" i="5"/>
  <c r="U54" i="5" s="1"/>
  <c r="M54" i="4"/>
  <c r="U6" i="4"/>
  <c r="U54" i="4" s="1"/>
  <c r="M54" i="3"/>
  <c r="U6" i="3"/>
  <c r="U54" i="3" s="1"/>
  <c r="C54" i="2"/>
  <c r="D54" i="2"/>
  <c r="A37" i="2" l="1"/>
  <c r="A39" i="6"/>
  <c r="A36" i="5"/>
  <c r="A36" i="4"/>
  <c r="A36" i="3"/>
  <c r="E6" i="2"/>
  <c r="F6" i="2" s="1"/>
  <c r="A38" i="2" l="1"/>
  <c r="A40" i="6"/>
  <c r="A37" i="5"/>
  <c r="A37" i="4"/>
  <c r="A37" i="3"/>
  <c r="E54" i="2"/>
  <c r="A39" i="2" l="1"/>
  <c r="A38" i="5"/>
  <c r="A38" i="4"/>
  <c r="A38" i="3"/>
  <c r="A41" i="6"/>
  <c r="F54" i="2"/>
  <c r="V6" i="2"/>
  <c r="G6" i="2"/>
  <c r="A40" i="2" l="1"/>
  <c r="A39" i="5"/>
  <c r="A39" i="4"/>
  <c r="A39" i="3"/>
  <c r="A42" i="6"/>
  <c r="G54" i="2"/>
  <c r="H6" i="2"/>
  <c r="A41" i="2" l="1"/>
  <c r="A43" i="6"/>
  <c r="A40" i="3"/>
  <c r="A40" i="5"/>
  <c r="A40" i="4"/>
  <c r="H54" i="2"/>
  <c r="I6" i="2"/>
  <c r="A42" i="2" l="1"/>
  <c r="A41" i="5"/>
  <c r="A41" i="3"/>
  <c r="A41" i="4"/>
  <c r="A44" i="6"/>
  <c r="I54" i="2"/>
  <c r="K6" i="2"/>
  <c r="J6" i="2"/>
  <c r="A43" i="2" l="1"/>
  <c r="A42" i="4"/>
  <c r="A42" i="3"/>
  <c r="A45" i="6"/>
  <c r="A42" i="5"/>
  <c r="J54" i="2"/>
  <c r="K54" i="2"/>
  <c r="L6" i="2"/>
  <c r="N6" i="2" s="1"/>
  <c r="B54" i="2"/>
  <c r="B57" i="6" s="1"/>
  <c r="A44" i="2" l="1"/>
  <c r="A43" i="4"/>
  <c r="A43" i="3"/>
  <c r="A46" i="6"/>
  <c r="A43" i="5"/>
  <c r="U6" i="2"/>
  <c r="U54" i="2" s="1"/>
  <c r="T6" i="2"/>
  <c r="O6" i="2"/>
  <c r="L54" i="2"/>
  <c r="Q6" i="2"/>
  <c r="V54" i="2"/>
  <c r="R6" i="2"/>
  <c r="P6" i="2"/>
  <c r="M6" i="2"/>
  <c r="S6" i="2"/>
  <c r="A45" i="2" l="1"/>
  <c r="A44" i="3"/>
  <c r="A47" i="6"/>
  <c r="A44" i="5"/>
  <c r="A44" i="4"/>
  <c r="T54" i="2"/>
  <c r="S54" i="2"/>
  <c r="M54" i="2"/>
  <c r="Q54" i="2"/>
  <c r="P54" i="2"/>
  <c r="N54" i="2"/>
  <c r="R54" i="2"/>
  <c r="O54" i="2"/>
  <c r="A46" i="2" l="1"/>
  <c r="A48" i="6"/>
  <c r="A45" i="4"/>
  <c r="A45" i="5"/>
  <c r="A45" i="3"/>
  <c r="I9" i="6"/>
  <c r="S9" i="6"/>
  <c r="V9" i="6"/>
  <c r="E9" i="6"/>
  <c r="W9" i="6"/>
  <c r="N9" i="6"/>
  <c r="R9" i="6"/>
  <c r="Q9" i="6"/>
  <c r="U9" i="6"/>
  <c r="U57" i="6" s="1"/>
  <c r="F9" i="6"/>
  <c r="P9" i="6"/>
  <c r="J9" i="6"/>
  <c r="T9" i="6"/>
  <c r="M9" i="6"/>
  <c r="G9" i="6"/>
  <c r="H9" i="6"/>
  <c r="L9" i="6"/>
  <c r="O9" i="6"/>
  <c r="K9" i="6"/>
  <c r="A46" i="4" l="1"/>
  <c r="A46" i="5"/>
  <c r="A46" i="3"/>
  <c r="A47" i="2"/>
  <c r="A49" i="6"/>
  <c r="C57" i="6"/>
  <c r="G57" i="6"/>
  <c r="E57" i="6"/>
  <c r="H57" i="6"/>
  <c r="V57" i="6"/>
  <c r="N57" i="6"/>
  <c r="P57" i="6"/>
  <c r="K57" i="6"/>
  <c r="L57" i="6"/>
  <c r="J57" i="6"/>
  <c r="F57" i="6"/>
  <c r="D57" i="6"/>
  <c r="I57" i="6"/>
  <c r="R57" i="6"/>
  <c r="S57" i="6"/>
  <c r="Q57" i="6"/>
  <c r="O57" i="6"/>
  <c r="M57" i="6"/>
  <c r="A48" i="2" l="1"/>
  <c r="A47" i="3"/>
  <c r="A47" i="4"/>
  <c r="A50" i="6"/>
  <c r="A47" i="5"/>
  <c r="T54" i="4"/>
  <c r="A49" i="2" l="1"/>
  <c r="A48" i="4"/>
  <c r="A51" i="6"/>
  <c r="A48" i="5"/>
  <c r="A48" i="3"/>
  <c r="T57" i="6"/>
  <c r="A50" i="2" l="1"/>
  <c r="A51" i="2" s="1"/>
  <c r="A49" i="3"/>
  <c r="A52" i="6"/>
  <c r="A49" i="5"/>
  <c r="A49" i="4"/>
  <c r="A52" i="2" l="1"/>
  <c r="A54" i="6"/>
  <c r="A51" i="4"/>
  <c r="A51" i="5"/>
  <c r="A51" i="3"/>
  <c r="A53" i="6"/>
  <c r="A50" i="5"/>
  <c r="A50" i="4"/>
  <c r="A50" i="3"/>
</calcChain>
</file>

<file path=xl/sharedStrings.xml><?xml version="1.0" encoding="utf-8"?>
<sst xmlns="http://schemas.openxmlformats.org/spreadsheetml/2006/main" count="139" uniqueCount="39">
  <si>
    <t>WEST VIRGINIA LOTTERY</t>
  </si>
  <si>
    <t>RACETRACK</t>
  </si>
  <si>
    <t>WEEK ENDING</t>
  </si>
  <si>
    <t>SURCHARGE</t>
  </si>
  <si>
    <t>**  Represents an average of the number of machines in use for the week, averaged for the fiscal year.</t>
  </si>
  <si>
    <t>AMOUNT
PLAYED</t>
  </si>
  <si>
    <t>AMOUNT
WON</t>
  </si>
  <si>
    <t>ADMIN
COSTS</t>
  </si>
  <si>
    <t>AMOUNT
PROMO</t>
  </si>
  <si>
    <t>ADJ GROSS
TERMINAL
REVENUE</t>
  </si>
  <si>
    <t>EXCESS
LOTTERY
FUND</t>
  </si>
  <si>
    <t>NET TERMINAL
REVENUE</t>
  </si>
  <si>
    <t>STATE SHARE
EXCESS</t>
  </si>
  <si>
    <t>TRACK
CAPITAL
REINVEST</t>
  </si>
  <si>
    <t>ADJ NET
TERMINAL
REVENUE</t>
  </si>
  <si>
    <t>LOTTERY
FUND</t>
  </si>
  <si>
    <t>PURSE
FUND</t>
  </si>
  <si>
    <t>PENSION
FUND</t>
  </si>
  <si>
    <t>GRHND
DEVEL</t>
  </si>
  <si>
    <t>THRBD
DEVEL</t>
  </si>
  <si>
    <t>AVG ADJ
GTR PER
TERMINAL</t>
  </si>
  <si>
    <t>NUMBER
OF
TERMINALS **</t>
  </si>
  <si>
    <t>CITY OF WHEELING</t>
  </si>
  <si>
    <t>OHIO
COUNTY</t>
  </si>
  <si>
    <t>KANAWHA
COUNTY</t>
  </si>
  <si>
    <t>CITY OF NITRO</t>
  </si>
  <si>
    <t>5 CITIES</t>
  </si>
  <si>
    <t>JEFFERSON COUNTY</t>
  </si>
  <si>
    <t>HANCOCK COUNTY</t>
  </si>
  <si>
    <t>WEEKLY RACETRACK VIDEO REVENUE SUMMARY</t>
  </si>
  <si>
    <t>CITIES</t>
  </si>
  <si>
    <t>COUNTIES</t>
  </si>
  <si>
    <t>`</t>
  </si>
  <si>
    <t>2 CITIES</t>
  </si>
  <si>
    <t>* 6 days to start the fiscal year</t>
  </si>
  <si>
    <t>FY 2024</t>
  </si>
  <si>
    <t>FISCAL YEAR 2025</t>
  </si>
  <si>
    <t>7/6/2024 *</t>
  </si>
  <si>
    <t>FISCAL YEAR TO DATE AS OF MAY 24,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</si>
</sst>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2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 wrapText="1"/>
    </xf>
    <xf numFmtId="44" fontId="0" fillId="0" borderId="0" xfId="1" applyFont="1" applyBorder="1" applyAlignment="1">
      <alignment horizontal="center" wrapText="1"/>
    </xf>
    <xf numFmtId="37" fontId="0" fillId="0" borderId="0" xfId="1" applyNumberFormat="1" applyFont="1" applyBorder="1" applyAlignment="1">
      <alignment horizontal="center" wrapText="1"/>
    </xf>
    <xf numFmtId="14" fontId="0" fillId="0" borderId="0" xfId="1" applyNumberFormat="1" applyFont="1" applyAlignment="1">
      <alignment horizontal="left"/>
    </xf>
    <xf numFmtId="44" fontId="0" fillId="0" borderId="0" xfId="1" applyFont="1"/>
    <xf numFmtId="38" fontId="0" fillId="0" borderId="0" xfId="1" applyNumberFormat="1" applyFont="1" applyAlignment="1">
      <alignment horizontal="center"/>
    </xf>
    <xf numFmtId="43" fontId="0" fillId="0" borderId="0" xfId="1" applyNumberFormat="1" applyFont="1"/>
    <xf numFmtId="44" fontId="0" fillId="0" borderId="0" xfId="0" applyNumberFormat="1"/>
    <xf numFmtId="44" fontId="0" fillId="0" borderId="2" xfId="0" applyNumberFormat="1" applyBorder="1"/>
    <xf numFmtId="44" fontId="0" fillId="0" borderId="2" xfId="0" applyNumberFormat="1" applyBorder="1" applyAlignment="1">
      <alignment horizontal="center"/>
    </xf>
    <xf numFmtId="38" fontId="0" fillId="0" borderId="2" xfId="0" applyNumberForma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44" fontId="0" fillId="0" borderId="0" xfId="1" applyFont="1" applyAlignment="1">
      <alignment horizontal="center"/>
    </xf>
    <xf numFmtId="0" fontId="1" fillId="0" borderId="0" xfId="0" applyFont="1"/>
    <xf numFmtId="44" fontId="7" fillId="0" borderId="0" xfId="1" applyFont="1"/>
    <xf numFmtId="14" fontId="0" fillId="0" borderId="0" xfId="1" applyNumberFormat="1" applyFont="1" applyFill="1" applyAlignment="1">
      <alignment horizontal="left"/>
    </xf>
    <xf numFmtId="44" fontId="0" fillId="0" borderId="0" xfId="1" applyFont="1" applyFill="1"/>
    <xf numFmtId="44" fontId="7" fillId="0" borderId="0" xfId="1" applyFont="1" applyFill="1"/>
    <xf numFmtId="44" fontId="0" fillId="0" borderId="0" xfId="1" applyFont="1" applyFill="1" applyAlignment="1">
      <alignment horizontal="center"/>
    </xf>
    <xf numFmtId="38" fontId="0" fillId="0" borderId="0" xfId="1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wrapText="1"/>
    </xf>
  </cellXfs>
  <cellStyles count="6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R60"/>
  <sheetViews>
    <sheetView tabSelected="1" zoomScaleNormal="100" workbookViewId="0">
      <pane ySplit="7" topLeftCell="A34" activePane="bottomLeft" state="frozen"/>
      <selection pane="bottomLeft" activeCell="A56" sqref="A56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28515625" customWidth="1"/>
    <col min="5" max="5" width="17.28515625" bestFit="1" customWidth="1"/>
    <col min="6" max="6" width="16" customWidth="1"/>
    <col min="7" max="7" width="14.5703125" customWidth="1"/>
    <col min="8" max="8" width="17.28515625" customWidth="1"/>
    <col min="9" max="9" width="14.7109375" hidden="1" customWidth="1"/>
    <col min="10" max="10" width="14.85546875" customWidth="1"/>
    <col min="11" max="11" width="13.85546875" customWidth="1"/>
    <col min="12" max="12" width="17.28515625" bestFit="1" customWidth="1"/>
    <col min="13" max="13" width="17.28515625" customWidth="1"/>
    <col min="14" max="14" width="15.85546875" customWidth="1"/>
    <col min="15" max="15" width="16.140625" bestFit="1" customWidth="1"/>
    <col min="16" max="16" width="15.85546875" customWidth="1"/>
    <col min="17" max="17" width="15.5703125" customWidth="1"/>
    <col min="18" max="18" width="17" customWidth="1"/>
    <col min="19" max="19" width="15.85546875" customWidth="1"/>
    <col min="20" max="20" width="15" customWidth="1"/>
    <col min="21" max="21" width="14.85546875" customWidth="1"/>
    <col min="22" max="23" width="13.7109375" customWidth="1"/>
  </cols>
  <sheetData>
    <row r="1" spans="1:96" s="17" customFormat="1" ht="18.75" x14ac:dyDescent="0.3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96" s="14" customFormat="1" ht="15" customHeight="1" x14ac:dyDescent="0.25">
      <c r="A2" s="25" t="s">
        <v>29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</row>
    <row r="3" spans="1:96" s="14" customFormat="1" ht="15" customHeight="1" x14ac:dyDescent="0.25">
      <c r="A3" s="25" t="s">
        <v>38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</row>
    <row r="4" spans="1:96" s="14" customFormat="1" ht="15" customHeight="1" x14ac:dyDescent="0.25">
      <c r="A4" s="25" t="s">
        <v>36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</row>
    <row r="5" spans="1:96" s="14" customFormat="1" ht="15" customHeight="1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</row>
    <row r="6" spans="1:96" s="3" customFormat="1" ht="15" customHeight="1" x14ac:dyDescent="0.25"/>
    <row r="7" spans="1:96" s="2" customFormat="1" ht="45" customHeight="1" x14ac:dyDescent="0.25">
      <c r="A7" s="2" t="s">
        <v>2</v>
      </c>
      <c r="B7" s="2" t="s">
        <v>5</v>
      </c>
      <c r="C7" s="2" t="s">
        <v>6</v>
      </c>
      <c r="D7" s="2" t="s">
        <v>8</v>
      </c>
      <c r="E7" s="2" t="s">
        <v>9</v>
      </c>
      <c r="F7" s="2" t="s">
        <v>7</v>
      </c>
      <c r="G7" s="2" t="s">
        <v>10</v>
      </c>
      <c r="H7" s="2" t="s">
        <v>11</v>
      </c>
      <c r="I7" s="2" t="s">
        <v>3</v>
      </c>
      <c r="J7" s="2" t="s">
        <v>12</v>
      </c>
      <c r="K7" s="2" t="s">
        <v>13</v>
      </c>
      <c r="L7" s="2" t="s">
        <v>14</v>
      </c>
      <c r="M7" s="2" t="s">
        <v>1</v>
      </c>
      <c r="N7" s="2" t="s">
        <v>15</v>
      </c>
      <c r="O7" s="2" t="s">
        <v>10</v>
      </c>
      <c r="P7" s="2" t="s">
        <v>16</v>
      </c>
      <c r="Q7" s="2" t="s">
        <v>17</v>
      </c>
      <c r="R7" s="2" t="s">
        <v>18</v>
      </c>
      <c r="S7" s="2" t="s">
        <v>19</v>
      </c>
      <c r="T7" s="2" t="s">
        <v>31</v>
      </c>
      <c r="U7" s="2" t="s">
        <v>30</v>
      </c>
      <c r="V7" s="2" t="s">
        <v>20</v>
      </c>
      <c r="W7" s="2" t="s">
        <v>21</v>
      </c>
    </row>
    <row r="8" spans="1:96" s="3" customFormat="1" ht="15" customHeight="1" x14ac:dyDescent="0.25"/>
    <row r="9" spans="1:96" ht="15" customHeight="1" x14ac:dyDescent="0.25">
      <c r="A9" s="6" t="str">
        <f>Mountaineer!A6</f>
        <v>7/6/2024 *</v>
      </c>
      <c r="B9" s="7">
        <f>SUM('Mountaineer:Charles Town'!B6)</f>
        <v>110401981.57999998</v>
      </c>
      <c r="C9" s="7">
        <f>SUM('Mountaineer:Charles Town'!C6)</f>
        <v>99221481.830000013</v>
      </c>
      <c r="D9" s="7">
        <f>SUM('Mountaineer:Charles Town'!D6)</f>
        <v>1922289.93</v>
      </c>
      <c r="E9" s="7">
        <f>SUM('Mountaineer:Charles Town'!E6)</f>
        <v>9258209.8199999891</v>
      </c>
      <c r="F9" s="7">
        <f>SUM('Mountaineer:Charles Town'!F6)</f>
        <v>370328.38</v>
      </c>
      <c r="G9" s="7">
        <f>SUM('Mountaineer:Charles Town'!G6)</f>
        <v>0</v>
      </c>
      <c r="H9" s="7">
        <f>SUM('Mountaineer:Charles Town'!H6)</f>
        <v>8887881.4399999902</v>
      </c>
      <c r="I9" s="7">
        <f>SUM('Mountaineer:Charles Town'!I6)</f>
        <v>0</v>
      </c>
      <c r="J9" s="7">
        <f>SUM('Mountaineer:Charles Town'!J6)</f>
        <v>0</v>
      </c>
      <c r="K9" s="7">
        <f>SUM('Mountaineer:Charles Town'!K6)</f>
        <v>0</v>
      </c>
      <c r="L9" s="18">
        <f>SUM('Mountaineer:Charles Town'!L6)</f>
        <v>8887881.4399999902</v>
      </c>
      <c r="M9" s="7">
        <f>SUM('Mountaineer:Charles Town'!M6)</f>
        <v>4132864.88</v>
      </c>
      <c r="N9" s="7">
        <f>SUM('Mountaineer:Charles Town'!N6)</f>
        <v>2666364.42</v>
      </c>
      <c r="O9" s="7">
        <f>SUM('Mountaineer:Charles Town'!O6)</f>
        <v>1142092.76</v>
      </c>
      <c r="P9" s="7">
        <f>SUM('Mountaineer:Charles Town'!P6)</f>
        <v>559936.53</v>
      </c>
      <c r="Q9" s="7">
        <f>SUM('Mountaineer:Charles Town'!Q6)</f>
        <v>88878.81</v>
      </c>
      <c r="R9" s="7">
        <f>SUM('Mountaineer:Charles Town'!R6)</f>
        <v>59993.210000000006</v>
      </c>
      <c r="S9" s="7">
        <f>SUM('Mountaineer:Charles Town'!S6)</f>
        <v>59993.210000000006</v>
      </c>
      <c r="T9" s="7">
        <f>SUM('Mountaineer:Charles Town'!T6)</f>
        <v>162193.20000000001</v>
      </c>
      <c r="U9" s="7">
        <f>SUM('Mountaineer:Charles Town'!U6)</f>
        <v>15564.42</v>
      </c>
      <c r="V9" s="7">
        <f>SUM('Mountaineer:Charles Town'!V6)</f>
        <v>7657.6748961545891</v>
      </c>
      <c r="W9" s="5">
        <f>SUM('Mountaineer:Charles Town'!W6)</f>
        <v>4408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Mountaineer!A7</f>
        <v>45486</v>
      </c>
      <c r="B10" s="7">
        <f>SUM('Mountaineer:Charles Town'!B7)</f>
        <v>109005604.58</v>
      </c>
      <c r="C10" s="7">
        <f>SUM('Mountaineer:Charles Town'!C7)</f>
        <v>98504715.120000005</v>
      </c>
      <c r="D10" s="7">
        <f>SUM('Mountaineer:Charles Town'!D7)</f>
        <v>1849733.11</v>
      </c>
      <c r="E10" s="7">
        <f>SUM('Mountaineer:Charles Town'!E7)</f>
        <v>8651156.3499999978</v>
      </c>
      <c r="F10" s="7">
        <f>SUM('Mountaineer:Charles Town'!F7)</f>
        <v>346046.29000000004</v>
      </c>
      <c r="G10" s="7">
        <f>SUM('Mountaineer:Charles Town'!G7)</f>
        <v>0</v>
      </c>
      <c r="H10" s="7">
        <f>SUM('Mountaineer:Charles Town'!H7)</f>
        <v>8305110.0599999987</v>
      </c>
      <c r="I10" s="7">
        <f>SUM('Mountaineer:Charles Town'!I7)</f>
        <v>0</v>
      </c>
      <c r="J10" s="7">
        <f>SUM('Mountaineer:Charles Town'!J7)</f>
        <v>0</v>
      </c>
      <c r="K10" s="7">
        <f>SUM('Mountaineer:Charles Town'!K7)</f>
        <v>0</v>
      </c>
      <c r="L10" s="18">
        <f>SUM('Mountaineer:Charles Town'!L7)</f>
        <v>8305110.0599999987</v>
      </c>
      <c r="M10" s="7">
        <f>SUM('Mountaineer:Charles Town'!M7)</f>
        <v>3861876.17</v>
      </c>
      <c r="N10" s="7">
        <f>SUM('Mountaineer:Charles Town'!N7)</f>
        <v>2491533.0099999998</v>
      </c>
      <c r="O10" s="7">
        <f>SUM('Mountaineer:Charles Town'!O7)</f>
        <v>1067206.6400000001</v>
      </c>
      <c r="P10" s="7">
        <f>SUM('Mountaineer:Charles Town'!P7)</f>
        <v>523221.93999999994</v>
      </c>
      <c r="Q10" s="7">
        <f>SUM('Mountaineer:Charles Town'!Q7)</f>
        <v>83051.100000000006</v>
      </c>
      <c r="R10" s="7">
        <f>SUM('Mountaineer:Charles Town'!R7)</f>
        <v>56059.5</v>
      </c>
      <c r="S10" s="7">
        <f>SUM('Mountaineer:Charles Town'!S7)</f>
        <v>56059.5</v>
      </c>
      <c r="T10" s="7">
        <f>SUM('Mountaineer:Charles Town'!T7)</f>
        <v>151202.24000000002</v>
      </c>
      <c r="U10" s="7">
        <f>SUM('Mountaineer:Charles Town'!U7)</f>
        <v>14899.960000000001</v>
      </c>
      <c r="V10" s="7">
        <f>SUM('Mountaineer:Charles Town'!V7)</f>
        <v>7202.0157905135211</v>
      </c>
      <c r="W10" s="5">
        <f>SUM('Mountaineer:Charles Town'!W7)</f>
        <v>4379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Mountaineer!A8</f>
        <v>45493</v>
      </c>
      <c r="B11" s="7">
        <f>SUM('Mountaineer:Charles Town'!B8)</f>
        <v>111560479.67</v>
      </c>
      <c r="C11" s="7">
        <f>SUM('Mountaineer:Charles Town'!C8)</f>
        <v>100394868.75999999</v>
      </c>
      <c r="D11" s="7">
        <f>SUM('Mountaineer:Charles Town'!D8)</f>
        <v>1776724.44</v>
      </c>
      <c r="E11" s="7">
        <f>SUM('Mountaineer:Charles Town'!E8)</f>
        <v>9388886.4700000081</v>
      </c>
      <c r="F11" s="7">
        <f>SUM('Mountaineer:Charles Town'!F8)</f>
        <v>375555.45999999996</v>
      </c>
      <c r="G11" s="7">
        <f>SUM('Mountaineer:Charles Town'!G8)</f>
        <v>0</v>
      </c>
      <c r="H11" s="7">
        <f>SUM('Mountaineer:Charles Town'!H8)</f>
        <v>9013331.0100000091</v>
      </c>
      <c r="I11" s="7">
        <f>SUM('Mountaineer:Charles Town'!I8)</f>
        <v>0</v>
      </c>
      <c r="J11" s="7">
        <f>SUM('Mountaineer:Charles Town'!J8)</f>
        <v>0</v>
      </c>
      <c r="K11" s="7">
        <f>SUM('Mountaineer:Charles Town'!K8)</f>
        <v>0</v>
      </c>
      <c r="L11" s="18">
        <f>SUM('Mountaineer:Charles Town'!L8)</f>
        <v>9013331.0100000091</v>
      </c>
      <c r="M11" s="7">
        <f>SUM('Mountaineer:Charles Town'!M8)</f>
        <v>4191198.92</v>
      </c>
      <c r="N11" s="7">
        <f>SUM('Mountaineer:Charles Town'!N8)</f>
        <v>2703999.3200000003</v>
      </c>
      <c r="O11" s="7">
        <f>SUM('Mountaineer:Charles Town'!O8)</f>
        <v>1158213.03</v>
      </c>
      <c r="P11" s="7">
        <f>SUM('Mountaineer:Charles Town'!P8)</f>
        <v>567839.85</v>
      </c>
      <c r="Q11" s="7">
        <f>SUM('Mountaineer:Charles Town'!Q8)</f>
        <v>90133.31</v>
      </c>
      <c r="R11" s="7">
        <f>SUM('Mountaineer:Charles Town'!R8)</f>
        <v>60839.98</v>
      </c>
      <c r="S11" s="7">
        <f>SUM('Mountaineer:Charles Town'!S8)</f>
        <v>60839.98</v>
      </c>
      <c r="T11" s="7">
        <f>SUM('Mountaineer:Charles Town'!T8)</f>
        <v>164480.41999999998</v>
      </c>
      <c r="U11" s="7">
        <f>SUM('Mountaineer:Charles Town'!U8)</f>
        <v>15786.2</v>
      </c>
      <c r="V11" s="7">
        <f>SUM('Mountaineer:Charles Town'!V8)</f>
        <v>7948.797408345139</v>
      </c>
      <c r="W11" s="5">
        <f>SUM('Mountaineer:Charles Town'!W8)</f>
        <v>4283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Mountaineer!A9</f>
        <v>45500</v>
      </c>
      <c r="B12" s="7">
        <f>SUM('Mountaineer:Charles Town'!B9)</f>
        <v>111507472.31</v>
      </c>
      <c r="C12" s="7">
        <f>SUM('Mountaineer:Charles Town'!C9)</f>
        <v>100110487.36</v>
      </c>
      <c r="D12" s="7">
        <f>SUM('Mountaineer:Charles Town'!D9)</f>
        <v>1757995.51</v>
      </c>
      <c r="E12" s="7">
        <f>SUM('Mountaineer:Charles Town'!E9)</f>
        <v>9638989.4400000032</v>
      </c>
      <c r="F12" s="7">
        <f>SUM('Mountaineer:Charles Town'!F9)</f>
        <v>385559.58999999997</v>
      </c>
      <c r="G12" s="7">
        <f>SUM('Mountaineer:Charles Town'!G9)</f>
        <v>0</v>
      </c>
      <c r="H12" s="7">
        <f>SUM('Mountaineer:Charles Town'!H9)</f>
        <v>9253429.8500000034</v>
      </c>
      <c r="I12" s="7">
        <f>SUM('Mountaineer:Charles Town'!I9)</f>
        <v>0</v>
      </c>
      <c r="J12" s="7">
        <f>SUM('Mountaineer:Charles Town'!J9)</f>
        <v>0</v>
      </c>
      <c r="K12" s="7">
        <f>SUM('Mountaineer:Charles Town'!K9)</f>
        <v>0</v>
      </c>
      <c r="L12" s="18">
        <f>SUM('Mountaineer:Charles Town'!L9)</f>
        <v>9253429.8500000034</v>
      </c>
      <c r="M12" s="7">
        <f>SUM('Mountaineer:Charles Town'!M9)</f>
        <v>4302844.8800000008</v>
      </c>
      <c r="N12" s="7">
        <f>SUM('Mountaineer:Charles Town'!N9)</f>
        <v>2776028.9699999997</v>
      </c>
      <c r="O12" s="7">
        <f>SUM('Mountaineer:Charles Town'!O9)</f>
        <v>1189065.73</v>
      </c>
      <c r="P12" s="7">
        <f>SUM('Mountaineer:Charles Town'!P9)</f>
        <v>582966.07000000007</v>
      </c>
      <c r="Q12" s="7">
        <f>SUM('Mountaineer:Charles Town'!Q9)</f>
        <v>92534.3</v>
      </c>
      <c r="R12" s="7">
        <f>SUM('Mountaineer:Charles Town'!R9)</f>
        <v>62460.649999999994</v>
      </c>
      <c r="S12" s="7">
        <f>SUM('Mountaineer:Charles Town'!S9)</f>
        <v>62460.649999999994</v>
      </c>
      <c r="T12" s="7">
        <f>SUM('Mountaineer:Charles Town'!T9)</f>
        <v>169874.8</v>
      </c>
      <c r="U12" s="7">
        <f>SUM('Mountaineer:Charles Town'!U9)</f>
        <v>15193.8</v>
      </c>
      <c r="V12" s="7">
        <f>SUM('Mountaineer:Charles Town'!V9)</f>
        <v>8135.6163532781939</v>
      </c>
      <c r="W12" s="5">
        <f>SUM('Mountaineer:Charles Town'!W9)</f>
        <v>4278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Mountaineer!A10</f>
        <v>45507</v>
      </c>
      <c r="B13" s="7">
        <f>SUM('Mountaineer:Charles Town'!B10)</f>
        <v>114480779.69000001</v>
      </c>
      <c r="C13" s="7">
        <f>SUM('Mountaineer:Charles Town'!C10)</f>
        <v>103486355.40000001</v>
      </c>
      <c r="D13" s="7">
        <f>SUM('Mountaineer:Charles Town'!D10)</f>
        <v>1892808.27</v>
      </c>
      <c r="E13" s="7">
        <f>SUM('Mountaineer:Charles Town'!E10)</f>
        <v>9101616.020000007</v>
      </c>
      <c r="F13" s="7">
        <f>SUM('Mountaineer:Charles Town'!F10)</f>
        <v>364064.66000000003</v>
      </c>
      <c r="G13" s="7">
        <f>SUM('Mountaineer:Charles Town'!G10)</f>
        <v>0</v>
      </c>
      <c r="H13" s="7">
        <f>SUM('Mountaineer:Charles Town'!H10)</f>
        <v>8737551.360000005</v>
      </c>
      <c r="I13" s="7">
        <f>SUM('Mountaineer:Charles Town'!I10)</f>
        <v>0</v>
      </c>
      <c r="J13" s="7">
        <f>SUM('Mountaineer:Charles Town'!J10)</f>
        <v>0</v>
      </c>
      <c r="K13" s="7">
        <f>SUM('Mountaineer:Charles Town'!K10)</f>
        <v>0</v>
      </c>
      <c r="L13" s="18">
        <f>SUM('Mountaineer:Charles Town'!L10)</f>
        <v>8737551.360000005</v>
      </c>
      <c r="M13" s="7">
        <f>SUM('Mountaineer:Charles Town'!M10)</f>
        <v>4062961.38</v>
      </c>
      <c r="N13" s="7">
        <f>SUM('Mountaineer:Charles Town'!N10)</f>
        <v>2621265.4000000004</v>
      </c>
      <c r="O13" s="7">
        <f>SUM('Mountaineer:Charles Town'!O10)</f>
        <v>1122775.3500000001</v>
      </c>
      <c r="P13" s="7">
        <f>SUM('Mountaineer:Charles Town'!P10)</f>
        <v>550465.74</v>
      </c>
      <c r="Q13" s="7">
        <f>SUM('Mountaineer:Charles Town'!Q10)</f>
        <v>87375.510000000009</v>
      </c>
      <c r="R13" s="7">
        <f>SUM('Mountaineer:Charles Town'!R10)</f>
        <v>58978.479999999996</v>
      </c>
      <c r="S13" s="7">
        <f>SUM('Mountaineer:Charles Town'!S10)</f>
        <v>58978.479999999996</v>
      </c>
      <c r="T13" s="7">
        <f>SUM('Mountaineer:Charles Town'!T10)</f>
        <v>160394.79999999999</v>
      </c>
      <c r="U13" s="7">
        <f>SUM('Mountaineer:Charles Town'!U10)</f>
        <v>14356.22</v>
      </c>
      <c r="V13" s="7">
        <f>SUM('Mountaineer:Charles Town'!V10)</f>
        <v>7724.3009830878564</v>
      </c>
      <c r="W13" s="5">
        <f>SUM('Mountaineer:Charles Town'!W10)</f>
        <v>4307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Mountaineer!A11</f>
        <v>45514</v>
      </c>
      <c r="B14" s="7">
        <f>SUM('Mountaineer:Charles Town'!B11)</f>
        <v>108687443.34999999</v>
      </c>
      <c r="C14" s="7">
        <f>SUM('Mountaineer:Charles Town'!C11)</f>
        <v>97893003.039999992</v>
      </c>
      <c r="D14" s="7">
        <f>SUM('Mountaineer:Charles Town'!D11)</f>
        <v>1779854.52</v>
      </c>
      <c r="E14" s="7">
        <f>SUM('Mountaineer:Charles Town'!E11)</f>
        <v>9014585.7900000103</v>
      </c>
      <c r="F14" s="7">
        <f>SUM('Mountaineer:Charles Town'!F11)</f>
        <v>360583.44</v>
      </c>
      <c r="G14" s="7">
        <f>SUM('Mountaineer:Charles Town'!G11)</f>
        <v>0</v>
      </c>
      <c r="H14" s="7">
        <f>SUM('Mountaineer:Charles Town'!H11)</f>
        <v>8654002.3500000089</v>
      </c>
      <c r="I14" s="7">
        <f>SUM('Mountaineer:Charles Town'!I11)</f>
        <v>0</v>
      </c>
      <c r="J14" s="7">
        <f>SUM('Mountaineer:Charles Town'!J11)</f>
        <v>0</v>
      </c>
      <c r="K14" s="7">
        <f>SUM('Mountaineer:Charles Town'!K11)</f>
        <v>0</v>
      </c>
      <c r="L14" s="18">
        <f>SUM('Mountaineer:Charles Town'!L11)</f>
        <v>8654002.3500000089</v>
      </c>
      <c r="M14" s="7">
        <f>SUM('Mountaineer:Charles Town'!M11)</f>
        <v>4024111.1</v>
      </c>
      <c r="N14" s="7">
        <f>SUM('Mountaineer:Charles Town'!N11)</f>
        <v>2596200.69</v>
      </c>
      <c r="O14" s="7">
        <f>SUM('Mountaineer:Charles Town'!O11)</f>
        <v>1112039.3</v>
      </c>
      <c r="P14" s="7">
        <f>SUM('Mountaineer:Charles Town'!P11)</f>
        <v>545202.16</v>
      </c>
      <c r="Q14" s="7">
        <f>SUM('Mountaineer:Charles Town'!Q11)</f>
        <v>86540.02</v>
      </c>
      <c r="R14" s="7">
        <f>SUM('Mountaineer:Charles Town'!R11)</f>
        <v>58414.520000000004</v>
      </c>
      <c r="S14" s="7">
        <f>SUM('Mountaineer:Charles Town'!S11)</f>
        <v>58414.520000000004</v>
      </c>
      <c r="T14" s="7">
        <f>SUM('Mountaineer:Charles Town'!T11)</f>
        <v>158056.41999999998</v>
      </c>
      <c r="U14" s="7">
        <f>SUM('Mountaineer:Charles Town'!U11)</f>
        <v>15023.62</v>
      </c>
      <c r="V14" s="7">
        <f>SUM('Mountaineer:Charles Town'!V11)</f>
        <v>7550.3333771431298</v>
      </c>
      <c r="W14" s="5">
        <f>SUM('Mountaineer:Charles Town'!W11)</f>
        <v>4410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Mountaineer!A12</f>
        <v>45521</v>
      </c>
      <c r="B15" s="7">
        <f>SUM('Mountaineer:Charles Town'!B12)</f>
        <v>109403298.94</v>
      </c>
      <c r="C15" s="7">
        <f>SUM('Mountaineer:Charles Town'!C12)</f>
        <v>98390816.659999996</v>
      </c>
      <c r="D15" s="7">
        <f>SUM('Mountaineer:Charles Town'!D12)</f>
        <v>1865492.4000000001</v>
      </c>
      <c r="E15" s="7">
        <f>SUM('Mountaineer:Charles Town'!E12)</f>
        <v>9146989.8800000008</v>
      </c>
      <c r="F15" s="7">
        <f>SUM('Mountaineer:Charles Town'!F12)</f>
        <v>365879.6</v>
      </c>
      <c r="G15" s="7">
        <f>SUM('Mountaineer:Charles Town'!G12)</f>
        <v>0</v>
      </c>
      <c r="H15" s="7">
        <f>SUM('Mountaineer:Charles Town'!H12)</f>
        <v>8781110.2800000012</v>
      </c>
      <c r="I15" s="7">
        <f>SUM('Mountaineer:Charles Town'!I12)</f>
        <v>0</v>
      </c>
      <c r="J15" s="7">
        <f>SUM('Mountaineer:Charles Town'!J12)</f>
        <v>0</v>
      </c>
      <c r="K15" s="7">
        <f>SUM('Mountaineer:Charles Town'!K12)</f>
        <v>0</v>
      </c>
      <c r="L15" s="18">
        <f>SUM('Mountaineer:Charles Town'!L12)</f>
        <v>8781110.2800000012</v>
      </c>
      <c r="M15" s="7">
        <f>SUM('Mountaineer:Charles Town'!M12)</f>
        <v>4083216.28</v>
      </c>
      <c r="N15" s="7">
        <f>SUM('Mountaineer:Charles Town'!N12)</f>
        <v>2634333.13</v>
      </c>
      <c r="O15" s="7">
        <f>SUM('Mountaineer:Charles Town'!O12)</f>
        <v>1128372.67</v>
      </c>
      <c r="P15" s="7">
        <f>SUM('Mountaineer:Charles Town'!P12)</f>
        <v>553209.93999999994</v>
      </c>
      <c r="Q15" s="7">
        <f>SUM('Mountaineer:Charles Town'!Q12)</f>
        <v>87811.1</v>
      </c>
      <c r="R15" s="7">
        <f>SUM('Mountaineer:Charles Town'!R12)</f>
        <v>59272.479999999996</v>
      </c>
      <c r="S15" s="7">
        <f>SUM('Mountaineer:Charles Town'!S12)</f>
        <v>59272.479999999996</v>
      </c>
      <c r="T15" s="7">
        <f>SUM('Mountaineer:Charles Town'!T12)</f>
        <v>161136.18</v>
      </c>
      <c r="U15" s="7">
        <f>SUM('Mountaineer:Charles Town'!U12)</f>
        <v>14486.02</v>
      </c>
      <c r="V15" s="7">
        <f>SUM('Mountaineer:Charles Town'!V12)</f>
        <v>7573.3663994516819</v>
      </c>
      <c r="W15" s="5">
        <f>SUM('Mountaineer:Charles Town'!W12)</f>
        <v>4412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Mountaineer!A13</f>
        <v>45528</v>
      </c>
      <c r="B16" s="7">
        <f>SUM('Mountaineer:Charles Town'!B13)</f>
        <v>107617971.77</v>
      </c>
      <c r="C16" s="7">
        <f>SUM('Mountaineer:Charles Town'!C13)</f>
        <v>96746231.659999996</v>
      </c>
      <c r="D16" s="7">
        <f>SUM('Mountaineer:Charles Town'!D13)</f>
        <v>1817696.2100000002</v>
      </c>
      <c r="E16" s="7">
        <f>SUM('Mountaineer:Charles Town'!E13)</f>
        <v>9054043.8999999966</v>
      </c>
      <c r="F16" s="7">
        <f>SUM('Mountaineer:Charles Town'!F13)</f>
        <v>362161.75</v>
      </c>
      <c r="G16" s="7">
        <f>SUM('Mountaineer:Charles Town'!G13)</f>
        <v>0</v>
      </c>
      <c r="H16" s="7">
        <f>SUM('Mountaineer:Charles Town'!H13)</f>
        <v>8691882.1499999985</v>
      </c>
      <c r="I16" s="7">
        <f>SUM('Mountaineer:Charles Town'!I13)</f>
        <v>0</v>
      </c>
      <c r="J16" s="7">
        <f>SUM('Mountaineer:Charles Town'!J13)</f>
        <v>0</v>
      </c>
      <c r="K16" s="7">
        <f>SUM('Mountaineer:Charles Town'!K13)</f>
        <v>0</v>
      </c>
      <c r="L16" s="18">
        <f>SUM('Mountaineer:Charles Town'!L13)</f>
        <v>8691882.1499999985</v>
      </c>
      <c r="M16" s="7">
        <f>SUM('Mountaineer:Charles Town'!M13)</f>
        <v>4041725.2</v>
      </c>
      <c r="N16" s="7">
        <f>SUM('Mountaineer:Charles Town'!N13)</f>
        <v>2607564.7000000002</v>
      </c>
      <c r="O16" s="7">
        <f>SUM('Mountaineer:Charles Town'!O13)</f>
        <v>1116906.8500000001</v>
      </c>
      <c r="P16" s="7">
        <f>SUM('Mountaineer:Charles Town'!P13)</f>
        <v>547588.57000000007</v>
      </c>
      <c r="Q16" s="7">
        <f>SUM('Mountaineer:Charles Town'!Q13)</f>
        <v>86918.81</v>
      </c>
      <c r="R16" s="7">
        <f>SUM('Mountaineer:Charles Town'!R13)</f>
        <v>58670.2</v>
      </c>
      <c r="S16" s="7">
        <f>SUM('Mountaineer:Charles Town'!S13)</f>
        <v>58670.2</v>
      </c>
      <c r="T16" s="7">
        <f>SUM('Mountaineer:Charles Town'!T13)</f>
        <v>159875.16</v>
      </c>
      <c r="U16" s="7">
        <f>SUM('Mountaineer:Charles Town'!U13)</f>
        <v>13962.46</v>
      </c>
      <c r="V16" s="7">
        <f>SUM('Mountaineer:Charles Town'!V13)</f>
        <v>7416.4357690932329</v>
      </c>
      <c r="W16" s="5">
        <f>SUM('Mountaineer:Charles Town'!W13)</f>
        <v>4401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Mountaineer!A14</f>
        <v>45535</v>
      </c>
      <c r="B17" s="7">
        <f>SUM('Mountaineer:Charles Town'!B14)</f>
        <v>113881859.22000001</v>
      </c>
      <c r="C17" s="7">
        <f>SUM('Mountaineer:Charles Town'!C14)</f>
        <v>102679193.83000001</v>
      </c>
      <c r="D17" s="7">
        <f>SUM('Mountaineer:Charles Town'!D14)</f>
        <v>1762267.91</v>
      </c>
      <c r="E17" s="7">
        <f>SUM('Mountaineer:Charles Town'!E14)</f>
        <v>9440397.480000006</v>
      </c>
      <c r="F17" s="7">
        <f>SUM('Mountaineer:Charles Town'!F14)</f>
        <v>377615.91000000003</v>
      </c>
      <c r="G17" s="7">
        <f>SUM('Mountaineer:Charles Town'!G14)</f>
        <v>0</v>
      </c>
      <c r="H17" s="7">
        <f>SUM('Mountaineer:Charles Town'!H14)</f>
        <v>9062781.5700000059</v>
      </c>
      <c r="I17" s="7">
        <f>SUM('Mountaineer:Charles Town'!I14)</f>
        <v>0</v>
      </c>
      <c r="J17" s="7">
        <f>SUM('Mountaineer:Charles Town'!J14)</f>
        <v>0</v>
      </c>
      <c r="K17" s="7">
        <f>SUM('Mountaineer:Charles Town'!K14)</f>
        <v>0</v>
      </c>
      <c r="L17" s="18">
        <f>SUM('Mountaineer:Charles Town'!L14)</f>
        <v>9062781.5700000059</v>
      </c>
      <c r="M17" s="7">
        <f>SUM('Mountaineer:Charles Town'!M14)</f>
        <v>4214193.4400000004</v>
      </c>
      <c r="N17" s="7">
        <f>SUM('Mountaineer:Charles Town'!N14)</f>
        <v>2718834.4699999997</v>
      </c>
      <c r="O17" s="7">
        <f>SUM('Mountaineer:Charles Town'!O14)</f>
        <v>1164567.42</v>
      </c>
      <c r="P17" s="7">
        <f>SUM('Mountaineer:Charles Town'!P14)</f>
        <v>570955.24</v>
      </c>
      <c r="Q17" s="7">
        <f>SUM('Mountaineer:Charles Town'!Q14)</f>
        <v>90627.819999999992</v>
      </c>
      <c r="R17" s="7">
        <f>SUM('Mountaineer:Charles Town'!R14)</f>
        <v>61173.770000000004</v>
      </c>
      <c r="S17" s="7">
        <f>SUM('Mountaineer:Charles Town'!S14)</f>
        <v>61173.770000000004</v>
      </c>
      <c r="T17" s="7">
        <f>SUM('Mountaineer:Charles Town'!T14)</f>
        <v>166118.71999999997</v>
      </c>
      <c r="U17" s="7">
        <f>SUM('Mountaineer:Charles Town'!U14)</f>
        <v>15136.92</v>
      </c>
      <c r="V17" s="7">
        <f>SUM('Mountaineer:Charles Town'!V14)</f>
        <v>7812.6180057606416</v>
      </c>
      <c r="W17" s="5">
        <f>SUM('Mountaineer:Charles Town'!W14)</f>
        <v>4406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Mountaineer!A15</f>
        <v>45542</v>
      </c>
      <c r="B18" s="7">
        <f>SUM('Mountaineer:Charles Town'!B15)</f>
        <v>117743905.61</v>
      </c>
      <c r="C18" s="7">
        <f>SUM('Mountaineer:Charles Town'!C15)</f>
        <v>105664513.15000001</v>
      </c>
      <c r="D18" s="7">
        <f>SUM('Mountaineer:Charles Town'!D15)</f>
        <v>2166182.6</v>
      </c>
      <c r="E18" s="7">
        <f>SUM('Mountaineer:Charles Town'!E15)</f>
        <v>9913209.859999992</v>
      </c>
      <c r="F18" s="7">
        <f>SUM('Mountaineer:Charles Town'!F15)</f>
        <v>396528.41</v>
      </c>
      <c r="G18" s="7">
        <f>SUM('Mountaineer:Charles Town'!G15)</f>
        <v>0</v>
      </c>
      <c r="H18" s="7">
        <f>SUM('Mountaineer:Charles Town'!H15)</f>
        <v>9516681.4499999918</v>
      </c>
      <c r="I18" s="7">
        <f>SUM('Mountaineer:Charles Town'!I15)</f>
        <v>0</v>
      </c>
      <c r="J18" s="7">
        <f>SUM('Mountaineer:Charles Town'!J15)</f>
        <v>0</v>
      </c>
      <c r="K18" s="7">
        <f>SUM('Mountaineer:Charles Town'!K15)</f>
        <v>0</v>
      </c>
      <c r="L18" s="18">
        <f>SUM('Mountaineer:Charles Town'!L15)</f>
        <v>9516681.4499999918</v>
      </c>
      <c r="M18" s="7">
        <f>SUM('Mountaineer:Charles Town'!M15)</f>
        <v>4425256.88</v>
      </c>
      <c r="N18" s="7">
        <f>SUM('Mountaineer:Charles Town'!N15)</f>
        <v>2855004.41</v>
      </c>
      <c r="O18" s="7">
        <f>SUM('Mountaineer:Charles Town'!O15)</f>
        <v>1222893.5699999998</v>
      </c>
      <c r="P18" s="7">
        <f>SUM('Mountaineer:Charles Town'!P15)</f>
        <v>599550.92999999993</v>
      </c>
      <c r="Q18" s="7">
        <f>SUM('Mountaineer:Charles Town'!Q15)</f>
        <v>95166.82</v>
      </c>
      <c r="R18" s="7">
        <f>SUM('Mountaineer:Charles Town'!R15)</f>
        <v>64237.599999999999</v>
      </c>
      <c r="S18" s="7">
        <f>SUM('Mountaineer:Charles Town'!S15)</f>
        <v>64237.599999999999</v>
      </c>
      <c r="T18" s="7">
        <f>SUM('Mountaineer:Charles Town'!T15)</f>
        <v>145920.01</v>
      </c>
      <c r="U18" s="7">
        <f>SUM('Mountaineer:Charles Town'!U15)</f>
        <v>44413.630000000005</v>
      </c>
      <c r="V18" s="7">
        <f>SUM('Mountaineer:Charles Town'!V15)</f>
        <v>8158.9491288568915</v>
      </c>
      <c r="W18" s="5">
        <f>SUM('Mountaineer:Charles Town'!W15)</f>
        <v>4424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Mountaineer!A16</f>
        <v>45549</v>
      </c>
      <c r="B19" s="7">
        <f>SUM('Mountaineer:Charles Town'!B16)</f>
        <v>102855081.281</v>
      </c>
      <c r="C19" s="7">
        <f>SUM('Mountaineer:Charles Town'!C16)</f>
        <v>92541569.090000004</v>
      </c>
      <c r="D19" s="7">
        <f>SUM('Mountaineer:Charles Town'!D16)</f>
        <v>1810778.59</v>
      </c>
      <c r="E19" s="7">
        <f>SUM('Mountaineer:Charles Town'!E16)</f>
        <v>8502733.6009999961</v>
      </c>
      <c r="F19" s="7">
        <f>SUM('Mountaineer:Charles Town'!F16)</f>
        <v>340109.32999999996</v>
      </c>
      <c r="G19" s="7">
        <f>SUM('Mountaineer:Charles Town'!G16)</f>
        <v>0</v>
      </c>
      <c r="H19" s="7">
        <f>SUM('Mountaineer:Charles Town'!H16)</f>
        <v>8162624.2709999969</v>
      </c>
      <c r="I19" s="7">
        <f>SUM('Mountaineer:Charles Town'!I16)</f>
        <v>0</v>
      </c>
      <c r="J19" s="7">
        <f>SUM('Mountaineer:Charles Town'!J16)</f>
        <v>0</v>
      </c>
      <c r="K19" s="7">
        <f>SUM('Mountaineer:Charles Town'!K16)</f>
        <v>0</v>
      </c>
      <c r="L19" s="18">
        <f>SUM('Mountaineer:Charles Town'!L16)</f>
        <v>8162624.2709999969</v>
      </c>
      <c r="M19" s="7">
        <f>SUM('Mountaineer:Charles Town'!M16)</f>
        <v>3795620.28</v>
      </c>
      <c r="N19" s="7">
        <f>SUM('Mountaineer:Charles Town'!N16)</f>
        <v>2448787.25</v>
      </c>
      <c r="O19" s="7">
        <f>SUM('Mountaineer:Charles Town'!O16)</f>
        <v>1048897.22</v>
      </c>
      <c r="P19" s="7">
        <f>SUM('Mountaineer:Charles Town'!P16)</f>
        <v>514245.32999999996</v>
      </c>
      <c r="Q19" s="7">
        <f>SUM('Mountaineer:Charles Town'!Q16)</f>
        <v>81626.25</v>
      </c>
      <c r="R19" s="7">
        <f>SUM('Mountaineer:Charles Town'!R16)</f>
        <v>55097.72</v>
      </c>
      <c r="S19" s="7">
        <f>SUM('Mountaineer:Charles Town'!S16)</f>
        <v>55097.72</v>
      </c>
      <c r="T19" s="7">
        <f>SUM('Mountaineer:Charles Town'!T16)</f>
        <v>104934.75</v>
      </c>
      <c r="U19" s="7">
        <f>SUM('Mountaineer:Charles Town'!U16)</f>
        <v>58317.75</v>
      </c>
      <c r="V19" s="7">
        <f>SUM('Mountaineer:Charles Town'!V16)</f>
        <v>7042.2680685784708</v>
      </c>
      <c r="W19" s="5">
        <f>SUM('Mountaineer:Charles Town'!W16)</f>
        <v>4406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Mountaineer!A17</f>
        <v>45556</v>
      </c>
      <c r="B20" s="7">
        <f>SUM('Mountaineer:Charles Town'!B17)</f>
        <v>102706242.21000001</v>
      </c>
      <c r="C20" s="7">
        <f>SUM('Mountaineer:Charles Town'!C17)</f>
        <v>92335631.800000012</v>
      </c>
      <c r="D20" s="7">
        <f>SUM('Mountaineer:Charles Town'!D17)</f>
        <v>1786214.1900000002</v>
      </c>
      <c r="E20" s="7">
        <f>SUM('Mountaineer:Charles Town'!E17)</f>
        <v>8584396.2200000025</v>
      </c>
      <c r="F20" s="7">
        <f>SUM('Mountaineer:Charles Town'!F17)</f>
        <v>343375.86</v>
      </c>
      <c r="G20" s="7">
        <f>SUM('Mountaineer:Charles Town'!G17)</f>
        <v>0</v>
      </c>
      <c r="H20" s="7">
        <f>SUM('Mountaineer:Charles Town'!H17)</f>
        <v>8241020.3600000013</v>
      </c>
      <c r="I20" s="7">
        <f>SUM('Mountaineer:Charles Town'!I17)</f>
        <v>0</v>
      </c>
      <c r="J20" s="7">
        <f>SUM('Mountaineer:Charles Town'!J17)</f>
        <v>0</v>
      </c>
      <c r="K20" s="7">
        <f>SUM('Mountaineer:Charles Town'!K17)</f>
        <v>0</v>
      </c>
      <c r="L20" s="18">
        <f>SUM('Mountaineer:Charles Town'!L17)</f>
        <v>8241020.3600000013</v>
      </c>
      <c r="M20" s="7">
        <f>SUM('Mountaineer:Charles Town'!M17)</f>
        <v>3832074.46</v>
      </c>
      <c r="N20" s="7">
        <f>SUM('Mountaineer:Charles Town'!N17)</f>
        <v>2472306.1100000003</v>
      </c>
      <c r="O20" s="7">
        <f>SUM('Mountaineer:Charles Town'!O17)</f>
        <v>1058971.1200000001</v>
      </c>
      <c r="P20" s="7">
        <f>SUM('Mountaineer:Charles Town'!P17)</f>
        <v>519184.29000000004</v>
      </c>
      <c r="Q20" s="7">
        <f>SUM('Mountaineer:Charles Town'!Q17)</f>
        <v>82410.200000000012</v>
      </c>
      <c r="R20" s="7">
        <f>SUM('Mountaineer:Charles Town'!R17)</f>
        <v>55626.89</v>
      </c>
      <c r="S20" s="7">
        <f>SUM('Mountaineer:Charles Town'!S17)</f>
        <v>55626.89</v>
      </c>
      <c r="T20" s="7">
        <f>SUM('Mountaineer:Charles Town'!T17)</f>
        <v>104805</v>
      </c>
      <c r="U20" s="7">
        <f>SUM('Mountaineer:Charles Town'!U17)</f>
        <v>60015.4</v>
      </c>
      <c r="V20" s="7">
        <f>SUM('Mountaineer:Charles Town'!V17)</f>
        <v>7123.725906353965</v>
      </c>
      <c r="W20" s="5">
        <f>SUM('Mountaineer:Charles Town'!W17)</f>
        <v>4393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Mountaineer!A18</f>
        <v>45563</v>
      </c>
      <c r="B21" s="7">
        <f>SUM('Mountaineer:Charles Town'!B18)</f>
        <v>109518401.50999999</v>
      </c>
      <c r="C21" s="7">
        <f>SUM('Mountaineer:Charles Town'!C18)</f>
        <v>98742358.329999998</v>
      </c>
      <c r="D21" s="7">
        <f>SUM('Mountaineer:Charles Town'!D18)</f>
        <v>1815575.53</v>
      </c>
      <c r="E21" s="7">
        <f>SUM('Mountaineer:Charles Town'!E18)</f>
        <v>8960467.6499999966</v>
      </c>
      <c r="F21" s="7">
        <f>SUM('Mountaineer:Charles Town'!F18)</f>
        <v>358418.7</v>
      </c>
      <c r="G21" s="7">
        <f>SUM('Mountaineer:Charles Town'!G18)</f>
        <v>0</v>
      </c>
      <c r="H21" s="7">
        <f>SUM('Mountaineer:Charles Town'!H18)</f>
        <v>8602048.9499999974</v>
      </c>
      <c r="I21" s="7">
        <f>SUM('Mountaineer:Charles Town'!I18)</f>
        <v>0</v>
      </c>
      <c r="J21" s="7">
        <f>SUM('Mountaineer:Charles Town'!J18)</f>
        <v>0</v>
      </c>
      <c r="K21" s="7">
        <f>SUM('Mountaineer:Charles Town'!K18)</f>
        <v>0</v>
      </c>
      <c r="L21" s="18">
        <f>SUM('Mountaineer:Charles Town'!L18)</f>
        <v>8602048.9499999974</v>
      </c>
      <c r="M21" s="7">
        <f>SUM('Mountaineer:Charles Town'!M18)</f>
        <v>3999952.7600000002</v>
      </c>
      <c r="N21" s="7">
        <f>SUM('Mountaineer:Charles Town'!N18)</f>
        <v>2580614.66</v>
      </c>
      <c r="O21" s="7">
        <f>SUM('Mountaineer:Charles Town'!O18)</f>
        <v>1105363.29</v>
      </c>
      <c r="P21" s="7">
        <f>SUM('Mountaineer:Charles Town'!P18)</f>
        <v>541929.09</v>
      </c>
      <c r="Q21" s="7">
        <f>SUM('Mountaineer:Charles Town'!Q18)</f>
        <v>86020.49</v>
      </c>
      <c r="R21" s="7">
        <f>SUM('Mountaineer:Charles Town'!R18)</f>
        <v>58063.839999999997</v>
      </c>
      <c r="S21" s="7">
        <f>SUM('Mountaineer:Charles Town'!S18)</f>
        <v>58063.839999999997</v>
      </c>
      <c r="T21" s="7">
        <f>SUM('Mountaineer:Charles Town'!T18)</f>
        <v>111424.53</v>
      </c>
      <c r="U21" s="7">
        <f>SUM('Mountaineer:Charles Town'!U18)</f>
        <v>60616.45</v>
      </c>
      <c r="V21" s="7">
        <f>SUM('Mountaineer:Charles Town'!V18)</f>
        <v>7988.1570089692086</v>
      </c>
      <c r="W21" s="5">
        <f>SUM('Mountaineer:Charles Town'!W18)</f>
        <v>4140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Mountaineer!A19</f>
        <v>45570</v>
      </c>
      <c r="B22" s="7">
        <f>SUM('Mountaineer:Charles Town'!B19)</f>
        <v>104875151.09999999</v>
      </c>
      <c r="C22" s="7">
        <f>SUM('Mountaineer:Charles Town'!C19)</f>
        <v>94376924.25</v>
      </c>
      <c r="D22" s="7">
        <f>SUM('Mountaineer:Charles Town'!D19)</f>
        <v>1960387.65</v>
      </c>
      <c r="E22" s="7">
        <f>SUM('Mountaineer:Charles Town'!E19)</f>
        <v>8537839.1999999918</v>
      </c>
      <c r="F22" s="7">
        <f>SUM('Mountaineer:Charles Town'!F19)</f>
        <v>341513.57999999996</v>
      </c>
      <c r="G22" s="7">
        <f>SUM('Mountaineer:Charles Town'!G19)</f>
        <v>0</v>
      </c>
      <c r="H22" s="7">
        <f>SUM('Mountaineer:Charles Town'!H19)</f>
        <v>8196325.6199999927</v>
      </c>
      <c r="I22" s="7">
        <f>SUM('Mountaineer:Charles Town'!I19)</f>
        <v>0</v>
      </c>
      <c r="J22" s="7">
        <f>SUM('Mountaineer:Charles Town'!J19)</f>
        <v>0</v>
      </c>
      <c r="K22" s="7">
        <f>SUM('Mountaineer:Charles Town'!K19)</f>
        <v>0</v>
      </c>
      <c r="L22" s="18">
        <f>SUM('Mountaineer:Charles Town'!L19)</f>
        <v>8196325.6199999927</v>
      </c>
      <c r="M22" s="7">
        <f>SUM('Mountaineer:Charles Town'!M19)</f>
        <v>3811291.42</v>
      </c>
      <c r="N22" s="7">
        <f>SUM('Mountaineer:Charles Town'!N19)</f>
        <v>2458897.71</v>
      </c>
      <c r="O22" s="7">
        <f>SUM('Mountaineer:Charles Town'!O19)</f>
        <v>1053227.8400000001</v>
      </c>
      <c r="P22" s="7">
        <f>SUM('Mountaineer:Charles Town'!P19)</f>
        <v>516368.52</v>
      </c>
      <c r="Q22" s="7">
        <f>SUM('Mountaineer:Charles Town'!Q19)</f>
        <v>81963.25</v>
      </c>
      <c r="R22" s="7">
        <f>SUM('Mountaineer:Charles Town'!R19)</f>
        <v>55325.19</v>
      </c>
      <c r="S22" s="7">
        <f>SUM('Mountaineer:Charles Town'!S19)</f>
        <v>55325.19</v>
      </c>
      <c r="T22" s="7">
        <f>SUM('Mountaineer:Charles Town'!T19)</f>
        <v>105407.4</v>
      </c>
      <c r="U22" s="7">
        <f>SUM('Mountaineer:Charles Town'!U19)</f>
        <v>58519.1</v>
      </c>
      <c r="V22" s="7">
        <f>SUM('Mountaineer:Charles Town'!V19)</f>
        <v>7455.4378650606286</v>
      </c>
      <c r="W22" s="5">
        <f>SUM('Mountaineer:Charles Town'!W19)</f>
        <v>4177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Mountaineer!A20</f>
        <v>45577</v>
      </c>
      <c r="B23" s="7">
        <f>SUM('Mountaineer:Charles Town'!B20)</f>
        <v>102519080.05000001</v>
      </c>
      <c r="C23" s="7">
        <f>SUM('Mountaineer:Charles Town'!C20)</f>
        <v>92285513.519999996</v>
      </c>
      <c r="D23" s="7">
        <f>SUM('Mountaineer:Charles Town'!D20)</f>
        <v>1736635.72</v>
      </c>
      <c r="E23" s="7">
        <f>SUM('Mountaineer:Charles Town'!E20)</f>
        <v>8496930.8100000024</v>
      </c>
      <c r="F23" s="7">
        <f>SUM('Mountaineer:Charles Town'!F20)</f>
        <v>339877.23</v>
      </c>
      <c r="G23" s="7">
        <f>SUM('Mountaineer:Charles Town'!G20)</f>
        <v>0</v>
      </c>
      <c r="H23" s="7">
        <f>SUM('Mountaineer:Charles Town'!H20)</f>
        <v>8157053.5800000038</v>
      </c>
      <c r="I23" s="7">
        <f>SUM('Mountaineer:Charles Town'!I20)</f>
        <v>0</v>
      </c>
      <c r="J23" s="7">
        <f>SUM('Mountaineer:Charles Town'!J20)</f>
        <v>0</v>
      </c>
      <c r="K23" s="7">
        <f>SUM('Mountaineer:Charles Town'!K20)</f>
        <v>0</v>
      </c>
      <c r="L23" s="18">
        <f>SUM('Mountaineer:Charles Town'!L20)</f>
        <v>8157053.5800000038</v>
      </c>
      <c r="M23" s="7">
        <f>SUM('Mountaineer:Charles Town'!M20)</f>
        <v>3793029.91</v>
      </c>
      <c r="N23" s="7">
        <f>SUM('Mountaineer:Charles Town'!N20)</f>
        <v>2447116.06</v>
      </c>
      <c r="O23" s="7">
        <f>SUM('Mountaineer:Charles Town'!O20)</f>
        <v>1048181.37</v>
      </c>
      <c r="P23" s="7">
        <f>SUM('Mountaineer:Charles Town'!P20)</f>
        <v>513894.38</v>
      </c>
      <c r="Q23" s="7">
        <f>SUM('Mountaineer:Charles Town'!Q20)</f>
        <v>81570.540000000008</v>
      </c>
      <c r="R23" s="7">
        <f>SUM('Mountaineer:Charles Town'!R20)</f>
        <v>55060.119999999995</v>
      </c>
      <c r="S23" s="7">
        <f>SUM('Mountaineer:Charles Town'!S20)</f>
        <v>55060.119999999995</v>
      </c>
      <c r="T23" s="7">
        <f>SUM('Mountaineer:Charles Town'!T20)</f>
        <v>103916.41</v>
      </c>
      <c r="U23" s="7">
        <f>SUM('Mountaineer:Charles Town'!U20)</f>
        <v>59224.67</v>
      </c>
      <c r="V23" s="7">
        <f>SUM('Mountaineer:Charles Town'!V20)</f>
        <v>7174.422377953224</v>
      </c>
      <c r="W23" s="5">
        <f>SUM('Mountaineer:Charles Town'!W20)</f>
        <v>4267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Mountaineer!A21</f>
        <v>45584</v>
      </c>
      <c r="B24" s="7">
        <f>SUM('Mountaineer:Charles Town'!B21)</f>
        <v>112243862.98</v>
      </c>
      <c r="C24" s="7">
        <f>SUM('Mountaineer:Charles Town'!C21)</f>
        <v>101024921.94</v>
      </c>
      <c r="D24" s="7">
        <f>SUM('Mountaineer:Charles Town'!D21)</f>
        <v>1953062.54</v>
      </c>
      <c r="E24" s="7">
        <f>SUM('Mountaineer:Charles Town'!E21)</f>
        <v>9265878.5000000019</v>
      </c>
      <c r="F24" s="7">
        <f>SUM('Mountaineer:Charles Town'!F21)</f>
        <v>370635.14</v>
      </c>
      <c r="G24" s="7">
        <f>SUM('Mountaineer:Charles Town'!G21)</f>
        <v>0</v>
      </c>
      <c r="H24" s="7">
        <f>SUM('Mountaineer:Charles Town'!H21)</f>
        <v>8895243.3600000031</v>
      </c>
      <c r="I24" s="7">
        <f>SUM('Mountaineer:Charles Town'!I21)</f>
        <v>0</v>
      </c>
      <c r="J24" s="7">
        <f>SUM('Mountaineer:Charles Town'!J21)</f>
        <v>0</v>
      </c>
      <c r="K24" s="7">
        <f>SUM('Mountaineer:Charles Town'!K21)</f>
        <v>0</v>
      </c>
      <c r="L24" s="18">
        <f>SUM('Mountaineer:Charles Town'!L21)</f>
        <v>8895243.3600000031</v>
      </c>
      <c r="M24" s="7">
        <f>SUM('Mountaineer:Charles Town'!M21)</f>
        <v>4136288.16</v>
      </c>
      <c r="N24" s="7">
        <f>SUM('Mountaineer:Charles Town'!N21)</f>
        <v>2668573.02</v>
      </c>
      <c r="O24" s="7">
        <f>SUM('Mountaineer:Charles Town'!O21)</f>
        <v>1143038.78</v>
      </c>
      <c r="P24" s="7">
        <f>SUM('Mountaineer:Charles Town'!P21)</f>
        <v>560400.33000000007</v>
      </c>
      <c r="Q24" s="7">
        <f>SUM('Mountaineer:Charles Town'!Q21)</f>
        <v>88952.43</v>
      </c>
      <c r="R24" s="7">
        <f>SUM('Mountaineer:Charles Town'!R21)</f>
        <v>60042.89</v>
      </c>
      <c r="S24" s="7">
        <f>SUM('Mountaineer:Charles Town'!S21)</f>
        <v>60042.89</v>
      </c>
      <c r="T24" s="7">
        <f>SUM('Mountaineer:Charles Town'!T21)</f>
        <v>115932.4</v>
      </c>
      <c r="U24" s="7">
        <f>SUM('Mountaineer:Charles Town'!U21)</f>
        <v>61972.46</v>
      </c>
      <c r="V24" s="7">
        <f>SUM('Mountaineer:Charles Town'!V21)</f>
        <v>7739.9232533156028</v>
      </c>
      <c r="W24" s="5">
        <f>SUM('Mountaineer:Charles Town'!W21)</f>
        <v>4393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Mountaineer!A22</f>
        <v>45591</v>
      </c>
      <c r="B25" s="7">
        <f>SUM('Mountaineer:Charles Town'!B22)</f>
        <v>107962096.70999998</v>
      </c>
      <c r="C25" s="7">
        <f>SUM('Mountaineer:Charles Town'!C22)</f>
        <v>96824411.640000001</v>
      </c>
      <c r="D25" s="7">
        <f>SUM('Mountaineer:Charles Town'!D22)</f>
        <v>1811760.2</v>
      </c>
      <c r="E25" s="7">
        <f>SUM('Mountaineer:Charles Town'!E22)</f>
        <v>9325924.8699999936</v>
      </c>
      <c r="F25" s="7">
        <f>SUM('Mountaineer:Charles Town'!F22)</f>
        <v>373037</v>
      </c>
      <c r="G25" s="7">
        <f>SUM('Mountaineer:Charles Town'!G22)</f>
        <v>0</v>
      </c>
      <c r="H25" s="7">
        <f>SUM('Mountaineer:Charles Town'!H22)</f>
        <v>8952887.8699999936</v>
      </c>
      <c r="I25" s="7">
        <f>SUM('Mountaineer:Charles Town'!I22)</f>
        <v>0</v>
      </c>
      <c r="J25" s="7">
        <f>SUM('Mountaineer:Charles Town'!J22)</f>
        <v>0</v>
      </c>
      <c r="K25" s="7">
        <f>SUM('Mountaineer:Charles Town'!K22)</f>
        <v>0</v>
      </c>
      <c r="L25" s="18">
        <f>SUM('Mountaineer:Charles Town'!L22)</f>
        <v>8952887.8699999936</v>
      </c>
      <c r="M25" s="7">
        <f>SUM('Mountaineer:Charles Town'!M22)</f>
        <v>4163092.8600000003</v>
      </c>
      <c r="N25" s="7">
        <f>SUM('Mountaineer:Charles Town'!N22)</f>
        <v>2685866.36</v>
      </c>
      <c r="O25" s="7">
        <f>SUM('Mountaineer:Charles Town'!O22)</f>
        <v>1150446.0900000001</v>
      </c>
      <c r="P25" s="7">
        <f>SUM('Mountaineer:Charles Town'!P22)</f>
        <v>564031.93999999994</v>
      </c>
      <c r="Q25" s="7">
        <f>SUM('Mountaineer:Charles Town'!Q22)</f>
        <v>89528.88</v>
      </c>
      <c r="R25" s="7">
        <f>SUM('Mountaineer:Charles Town'!R22)</f>
        <v>60431.99</v>
      </c>
      <c r="S25" s="7">
        <f>SUM('Mountaineer:Charles Town'!S22)</f>
        <v>60431.99</v>
      </c>
      <c r="T25" s="7">
        <f>SUM('Mountaineer:Charles Town'!T22)</f>
        <v>114912.66</v>
      </c>
      <c r="U25" s="7">
        <f>SUM('Mountaineer:Charles Town'!U22)</f>
        <v>64145.1</v>
      </c>
      <c r="V25" s="7">
        <f>SUM('Mountaineer:Charles Town'!V22)</f>
        <v>7570.3101735136679</v>
      </c>
      <c r="W25" s="5">
        <f>SUM('Mountaineer:Charles Town'!W22)</f>
        <v>4392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Mountaineer!A23</f>
        <v>45598</v>
      </c>
      <c r="B26" s="7">
        <f>SUM('Mountaineer:Charles Town'!B23)</f>
        <v>111800401.16</v>
      </c>
      <c r="C26" s="7">
        <f>SUM('Mountaineer:Charles Town'!C23)</f>
        <v>100212465.84999999</v>
      </c>
      <c r="D26" s="7">
        <f>SUM('Mountaineer:Charles Town'!D23)</f>
        <v>1931452.25</v>
      </c>
      <c r="E26" s="7">
        <f>SUM('Mountaineer:Charles Town'!E23)</f>
        <v>9656483.0600000024</v>
      </c>
      <c r="F26" s="7">
        <f>SUM('Mountaineer:Charles Town'!F23)</f>
        <v>386259.31999999995</v>
      </c>
      <c r="G26" s="7">
        <f>SUM('Mountaineer:Charles Town'!G23)</f>
        <v>0</v>
      </c>
      <c r="H26" s="7">
        <f>SUM('Mountaineer:Charles Town'!H23)</f>
        <v>9270223.7400000021</v>
      </c>
      <c r="I26" s="7">
        <f>SUM('Mountaineer:Charles Town'!I23)</f>
        <v>0</v>
      </c>
      <c r="J26" s="7">
        <f>SUM('Mountaineer:Charles Town'!J23)</f>
        <v>0</v>
      </c>
      <c r="K26" s="7">
        <f>SUM('Mountaineer:Charles Town'!K23)</f>
        <v>0</v>
      </c>
      <c r="L26" s="18">
        <f>SUM('Mountaineer:Charles Town'!L23)</f>
        <v>9270223.7400000021</v>
      </c>
      <c r="M26" s="7">
        <f>SUM('Mountaineer:Charles Town'!M23)</f>
        <v>4310654.04</v>
      </c>
      <c r="N26" s="7">
        <f>SUM('Mountaineer:Charles Town'!N23)</f>
        <v>2781067.1500000004</v>
      </c>
      <c r="O26" s="7">
        <f>SUM('Mountaineer:Charles Town'!O23)</f>
        <v>1191223.75</v>
      </c>
      <c r="P26" s="7">
        <f>SUM('Mountaineer:Charles Town'!P23)</f>
        <v>584024.09</v>
      </c>
      <c r="Q26" s="7">
        <f>SUM('Mountaineer:Charles Town'!Q23)</f>
        <v>92702.23000000001</v>
      </c>
      <c r="R26" s="7">
        <f>SUM('Mountaineer:Charles Town'!R23)</f>
        <v>62574.009999999995</v>
      </c>
      <c r="S26" s="7">
        <f>SUM('Mountaineer:Charles Town'!S23)</f>
        <v>62574.009999999995</v>
      </c>
      <c r="T26" s="7">
        <f>SUM('Mountaineer:Charles Town'!T23)</f>
        <v>117765.89</v>
      </c>
      <c r="U26" s="7">
        <f>SUM('Mountaineer:Charles Town'!U23)</f>
        <v>67638.570000000007</v>
      </c>
      <c r="V26" s="7">
        <f>SUM('Mountaineer:Charles Town'!V23)</f>
        <v>7832.3583870674374</v>
      </c>
      <c r="W26" s="5">
        <f>SUM('Mountaineer:Charles Town'!W23)</f>
        <v>4428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Mountaineer!A24</f>
        <v>45605</v>
      </c>
      <c r="B27" s="7">
        <f>SUM('Mountaineer:Charles Town'!B24)</f>
        <v>102734026.14</v>
      </c>
      <c r="C27" s="7">
        <f>SUM('Mountaineer:Charles Town'!C24)</f>
        <v>92328079.969999999</v>
      </c>
      <c r="D27" s="7">
        <f>SUM('Mountaineer:Charles Town'!D24)</f>
        <v>1656486.05</v>
      </c>
      <c r="E27" s="7">
        <f>SUM('Mountaineer:Charles Town'!E24)</f>
        <v>8749460.120000001</v>
      </c>
      <c r="F27" s="7">
        <f>SUM('Mountaineer:Charles Town'!F24)</f>
        <v>349978.43000000005</v>
      </c>
      <c r="G27" s="7">
        <f>SUM('Mountaineer:Charles Town'!G24)</f>
        <v>0</v>
      </c>
      <c r="H27" s="7">
        <f>SUM('Mountaineer:Charles Town'!H24)</f>
        <v>8399481.6900000013</v>
      </c>
      <c r="I27" s="7">
        <f>SUM('Mountaineer:Charles Town'!I24)</f>
        <v>0</v>
      </c>
      <c r="J27" s="7">
        <f>SUM('Mountaineer:Charles Town'!J24)</f>
        <v>0</v>
      </c>
      <c r="K27" s="7">
        <f>SUM('Mountaineer:Charles Town'!K24)</f>
        <v>0</v>
      </c>
      <c r="L27" s="18">
        <f>SUM('Mountaineer:Charles Town'!L24)</f>
        <v>8399481.6900000013</v>
      </c>
      <c r="M27" s="7">
        <f>SUM('Mountaineer:Charles Town'!M24)</f>
        <v>3905758.98</v>
      </c>
      <c r="N27" s="7">
        <f>SUM('Mountaineer:Charles Town'!N24)</f>
        <v>2519844.5300000003</v>
      </c>
      <c r="O27" s="7">
        <f>SUM('Mountaineer:Charles Town'!O24)</f>
        <v>1079333.3900000001</v>
      </c>
      <c r="P27" s="7">
        <f>SUM('Mountaineer:Charles Town'!P24)</f>
        <v>529167.34</v>
      </c>
      <c r="Q27" s="7">
        <f>SUM('Mountaineer:Charles Town'!Q24)</f>
        <v>83994.81</v>
      </c>
      <c r="R27" s="7">
        <f>SUM('Mountaineer:Charles Town'!R24)</f>
        <v>56696.510000000009</v>
      </c>
      <c r="S27" s="7">
        <f>SUM('Mountaineer:Charles Town'!S24)</f>
        <v>56696.510000000009</v>
      </c>
      <c r="T27" s="7">
        <f>SUM('Mountaineer:Charles Town'!T24)</f>
        <v>107825.93</v>
      </c>
      <c r="U27" s="7">
        <f>SUM('Mountaineer:Charles Town'!U24)</f>
        <v>60163.69</v>
      </c>
      <c r="V27" s="7">
        <f>SUM('Mountaineer:Charles Town'!V24)</f>
        <v>7160.4024821954299</v>
      </c>
      <c r="W27" s="5">
        <f>SUM('Mountaineer:Charles Town'!W24)</f>
        <v>4394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Mountaineer!A25</f>
        <v>45612</v>
      </c>
      <c r="B28" s="7">
        <f>SUM('Mountaineer:Charles Town'!B25)</f>
        <v>103910202.31</v>
      </c>
      <c r="C28" s="7">
        <f>SUM('Mountaineer:Charles Town'!C25)</f>
        <v>93506823.859999999</v>
      </c>
      <c r="D28" s="7">
        <f>SUM('Mountaineer:Charles Town'!D25)</f>
        <v>1717130.77</v>
      </c>
      <c r="E28" s="7">
        <f>SUM('Mountaineer:Charles Town'!E25)</f>
        <v>8686247.6799999978</v>
      </c>
      <c r="F28" s="7">
        <f>SUM('Mountaineer:Charles Town'!F25)</f>
        <v>347449.91000000003</v>
      </c>
      <c r="G28" s="7">
        <f>SUM('Mountaineer:Charles Town'!G25)</f>
        <v>0</v>
      </c>
      <c r="H28" s="7">
        <f>SUM('Mountaineer:Charles Town'!H25)</f>
        <v>8338797.7699999977</v>
      </c>
      <c r="I28" s="7">
        <f>SUM('Mountaineer:Charles Town'!I25)</f>
        <v>0</v>
      </c>
      <c r="J28" s="7">
        <f>SUM('Mountaineer:Charles Town'!J25)</f>
        <v>0</v>
      </c>
      <c r="K28" s="7">
        <f>SUM('Mountaineer:Charles Town'!K25)</f>
        <v>0</v>
      </c>
      <c r="L28" s="18">
        <f>SUM('Mountaineer:Charles Town'!L25)</f>
        <v>8338797.7699999977</v>
      </c>
      <c r="M28" s="7">
        <f>SUM('Mountaineer:Charles Town'!M25)</f>
        <v>3877540.9699999997</v>
      </c>
      <c r="N28" s="7">
        <f>SUM('Mountaineer:Charles Town'!N25)</f>
        <v>2501639.31</v>
      </c>
      <c r="O28" s="7">
        <f>SUM('Mountaineer:Charles Town'!O25)</f>
        <v>1071535.51</v>
      </c>
      <c r="P28" s="7">
        <f>SUM('Mountaineer:Charles Town'!P25)</f>
        <v>525344.26</v>
      </c>
      <c r="Q28" s="7">
        <f>SUM('Mountaineer:Charles Town'!Q25)</f>
        <v>83387.98000000001</v>
      </c>
      <c r="R28" s="7">
        <f>SUM('Mountaineer:Charles Town'!R25)</f>
        <v>56286.89</v>
      </c>
      <c r="S28" s="7">
        <f>SUM('Mountaineer:Charles Town'!S25)</f>
        <v>56286.89</v>
      </c>
      <c r="T28" s="7">
        <f>SUM('Mountaineer:Charles Town'!T25)</f>
        <v>107266</v>
      </c>
      <c r="U28" s="7">
        <f>SUM('Mountaineer:Charles Town'!U25)</f>
        <v>59509.96</v>
      </c>
      <c r="V28" s="7">
        <f>SUM('Mountaineer:Charles Town'!V25)</f>
        <v>7111.7090378735511</v>
      </c>
      <c r="W28" s="5">
        <f>SUM('Mountaineer:Charles Town'!W25)</f>
        <v>4417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Mountaineer!A26</f>
        <v>45619</v>
      </c>
      <c r="B29" s="7">
        <f>SUM('Mountaineer:Charles Town'!B26)</f>
        <v>95814500.829999998</v>
      </c>
      <c r="C29" s="7">
        <f>SUM('Mountaineer:Charles Town'!C26)</f>
        <v>86264763.200000003</v>
      </c>
      <c r="D29" s="7">
        <f>SUM('Mountaineer:Charles Town'!D26)</f>
        <v>1641010.23</v>
      </c>
      <c r="E29" s="7">
        <f>SUM('Mountaineer:Charles Town'!E26)</f>
        <v>7908727.399999992</v>
      </c>
      <c r="F29" s="7">
        <f>SUM('Mountaineer:Charles Town'!F26)</f>
        <v>316349.09999999998</v>
      </c>
      <c r="G29" s="7">
        <f>SUM('Mountaineer:Charles Town'!G26)</f>
        <v>0</v>
      </c>
      <c r="H29" s="7">
        <f>SUM('Mountaineer:Charles Town'!H26)</f>
        <v>7592378.2999999924</v>
      </c>
      <c r="I29" s="7">
        <f>SUM('Mountaineer:Charles Town'!I26)</f>
        <v>0</v>
      </c>
      <c r="J29" s="7">
        <f>SUM('Mountaineer:Charles Town'!J26)</f>
        <v>0</v>
      </c>
      <c r="K29" s="7">
        <f>SUM('Mountaineer:Charles Town'!K26)</f>
        <v>0</v>
      </c>
      <c r="L29" s="18">
        <f>SUM('Mountaineer:Charles Town'!L26)</f>
        <v>7592378.2999999924</v>
      </c>
      <c r="M29" s="7">
        <f>SUM('Mountaineer:Charles Town'!M26)</f>
        <v>3530455.9</v>
      </c>
      <c r="N29" s="7">
        <f>SUM('Mountaineer:Charles Town'!N26)</f>
        <v>2277713.52</v>
      </c>
      <c r="O29" s="7">
        <f>SUM('Mountaineer:Charles Town'!O26)</f>
        <v>975620.61</v>
      </c>
      <c r="P29" s="7">
        <f>SUM('Mountaineer:Charles Town'!P26)</f>
        <v>478319.82999999996</v>
      </c>
      <c r="Q29" s="7">
        <f>SUM('Mountaineer:Charles Town'!Q26)</f>
        <v>75923.78</v>
      </c>
      <c r="R29" s="7">
        <f>SUM('Mountaineer:Charles Town'!R26)</f>
        <v>51248.55</v>
      </c>
      <c r="S29" s="7">
        <f>SUM('Mountaineer:Charles Town'!S26)</f>
        <v>51248.55</v>
      </c>
      <c r="T29" s="7">
        <f>SUM('Mountaineer:Charles Town'!T26)</f>
        <v>97423.110000000015</v>
      </c>
      <c r="U29" s="7">
        <f>SUM('Mountaineer:Charles Town'!U26)</f>
        <v>54424.450000000004</v>
      </c>
      <c r="V29" s="7">
        <f>SUM('Mountaineer:Charles Town'!V26)</f>
        <v>6505.9815109083565</v>
      </c>
      <c r="W29" s="5">
        <f>SUM('Mountaineer:Charles Town'!W26)</f>
        <v>4374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Mountaineer!A27</f>
        <v>45626</v>
      </c>
      <c r="B30" s="7">
        <f>SUM('Mountaineer:Charles Town'!B27)</f>
        <v>114487713.10000001</v>
      </c>
      <c r="C30" s="7">
        <f>SUM('Mountaineer:Charles Town'!C27)</f>
        <v>103079173.56</v>
      </c>
      <c r="D30" s="7">
        <f>SUM('Mountaineer:Charles Town'!D27)</f>
        <v>1673164.92</v>
      </c>
      <c r="E30" s="7">
        <f>SUM('Mountaineer:Charles Town'!E27)</f>
        <v>9735374.620000001</v>
      </c>
      <c r="F30" s="7">
        <f>SUM('Mountaineer:Charles Town'!F27)</f>
        <v>389414.99</v>
      </c>
      <c r="G30" s="7">
        <f>SUM('Mountaineer:Charles Town'!G27)</f>
        <v>0</v>
      </c>
      <c r="H30" s="7">
        <f>SUM('Mountaineer:Charles Town'!H27)</f>
        <v>9345959.6300000008</v>
      </c>
      <c r="I30" s="7">
        <f>SUM('Mountaineer:Charles Town'!I27)</f>
        <v>0</v>
      </c>
      <c r="J30" s="7">
        <f>SUM('Mountaineer:Charles Town'!J27)</f>
        <v>0</v>
      </c>
      <c r="K30" s="7">
        <f>SUM('Mountaineer:Charles Town'!K27)</f>
        <v>0</v>
      </c>
      <c r="L30" s="18">
        <f>SUM('Mountaineer:Charles Town'!L27)</f>
        <v>9345959.6300000008</v>
      </c>
      <c r="M30" s="7">
        <f>SUM('Mountaineer:Charles Town'!M27)</f>
        <v>4345871.22</v>
      </c>
      <c r="N30" s="7">
        <f>SUM('Mountaineer:Charles Town'!N27)</f>
        <v>2803787.9</v>
      </c>
      <c r="O30" s="7">
        <f>SUM('Mountaineer:Charles Town'!O27)</f>
        <v>1200955.81</v>
      </c>
      <c r="P30" s="7">
        <f>SUM('Mountaineer:Charles Town'!P27)</f>
        <v>588795.46</v>
      </c>
      <c r="Q30" s="7">
        <f>SUM('Mountaineer:Charles Town'!Q27)</f>
        <v>93459.6</v>
      </c>
      <c r="R30" s="7">
        <f>SUM('Mountaineer:Charles Town'!R27)</f>
        <v>63085.22</v>
      </c>
      <c r="S30" s="7">
        <f>SUM('Mountaineer:Charles Town'!S27)</f>
        <v>63085.22</v>
      </c>
      <c r="T30" s="7">
        <f>SUM('Mountaineer:Charles Town'!T27)</f>
        <v>120183.38</v>
      </c>
      <c r="U30" s="7">
        <f>SUM('Mountaineer:Charles Town'!U27)</f>
        <v>66735.820000000007</v>
      </c>
      <c r="V30" s="7">
        <f>SUM('Mountaineer:Charles Town'!V27)</f>
        <v>7844.2549061871632</v>
      </c>
      <c r="W30" s="5">
        <f>SUM('Mountaineer:Charles Town'!W27)</f>
        <v>4440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Mountaineer!A28</f>
        <v>45633</v>
      </c>
      <c r="B31" s="7">
        <f>SUM('Mountaineer:Charles Town'!B28)</f>
        <v>93578284.24000001</v>
      </c>
      <c r="C31" s="7">
        <f>SUM('Mountaineer:Charles Town'!C28)</f>
        <v>84302843.830000013</v>
      </c>
      <c r="D31" s="7">
        <f>SUM('Mountaineer:Charles Town'!D28)</f>
        <v>1593969.9300000002</v>
      </c>
      <c r="E31" s="7">
        <f>SUM('Mountaineer:Charles Town'!E28)</f>
        <v>7681470.4799999958</v>
      </c>
      <c r="F31" s="7">
        <f>SUM('Mountaineer:Charles Town'!F28)</f>
        <v>307258.80999999994</v>
      </c>
      <c r="G31" s="7">
        <f>SUM('Mountaineer:Charles Town'!G28)</f>
        <v>0</v>
      </c>
      <c r="H31" s="7">
        <f>SUM('Mountaineer:Charles Town'!H28)</f>
        <v>7374211.6699999962</v>
      </c>
      <c r="I31" s="7">
        <f>SUM('Mountaineer:Charles Town'!I28)</f>
        <v>0</v>
      </c>
      <c r="J31" s="7">
        <f>SUM('Mountaineer:Charles Town'!J28)</f>
        <v>0</v>
      </c>
      <c r="K31" s="7">
        <f>SUM('Mountaineer:Charles Town'!K28)</f>
        <v>0</v>
      </c>
      <c r="L31" s="18">
        <f>SUM('Mountaineer:Charles Town'!L28)</f>
        <v>7374211.6699999962</v>
      </c>
      <c r="M31" s="7">
        <f>SUM('Mountaineer:Charles Town'!M28)</f>
        <v>3429008.42</v>
      </c>
      <c r="N31" s="7">
        <f>SUM('Mountaineer:Charles Town'!N28)</f>
        <v>2212263.5499999998</v>
      </c>
      <c r="O31" s="7">
        <f>SUM('Mountaineer:Charles Town'!O28)</f>
        <v>947586.20000000007</v>
      </c>
      <c r="P31" s="7">
        <f>SUM('Mountaineer:Charles Town'!P28)</f>
        <v>464575.32999999996</v>
      </c>
      <c r="Q31" s="7">
        <f>SUM('Mountaineer:Charles Town'!Q28)</f>
        <v>73742.109999999986</v>
      </c>
      <c r="R31" s="7">
        <f>SUM('Mountaineer:Charles Town'!R28)</f>
        <v>49775.92</v>
      </c>
      <c r="S31" s="7">
        <f>SUM('Mountaineer:Charles Town'!S28)</f>
        <v>49775.92</v>
      </c>
      <c r="T31" s="7">
        <f>SUM('Mountaineer:Charles Town'!T28)</f>
        <v>94808.709999999992</v>
      </c>
      <c r="U31" s="7">
        <f>SUM('Mountaineer:Charles Town'!U28)</f>
        <v>52675.509999999995</v>
      </c>
      <c r="V31" s="7">
        <f>SUM('Mountaineer:Charles Town'!V28)</f>
        <v>6395.5136791529058</v>
      </c>
      <c r="W31" s="5">
        <f>SUM('Mountaineer:Charles Town'!W28)</f>
        <v>4346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Mountaineer!A29</f>
        <v>45640</v>
      </c>
      <c r="B32" s="7">
        <f>SUM('Mountaineer:Charles Town'!B29)</f>
        <v>95489063.590000004</v>
      </c>
      <c r="C32" s="7">
        <f>SUM('Mountaineer:Charles Town'!C29)</f>
        <v>86236543.549999997</v>
      </c>
      <c r="D32" s="7">
        <f>SUM('Mountaineer:Charles Town'!D29)</f>
        <v>1470939.5699999998</v>
      </c>
      <c r="E32" s="7">
        <f>SUM('Mountaineer:Charles Town'!E29)</f>
        <v>7781580.4700000025</v>
      </c>
      <c r="F32" s="7">
        <f>SUM('Mountaineer:Charles Town'!F29)</f>
        <v>311263.20999999996</v>
      </c>
      <c r="G32" s="7">
        <f>SUM('Mountaineer:Charles Town'!G29)</f>
        <v>0</v>
      </c>
      <c r="H32" s="7">
        <f>SUM('Mountaineer:Charles Town'!H29)</f>
        <v>7470317.2600000026</v>
      </c>
      <c r="I32" s="7">
        <f>SUM('Mountaineer:Charles Town'!I29)</f>
        <v>0</v>
      </c>
      <c r="J32" s="7">
        <f>SUM('Mountaineer:Charles Town'!J29)</f>
        <v>0</v>
      </c>
      <c r="K32" s="7">
        <f>SUM('Mountaineer:Charles Town'!K29)</f>
        <v>0</v>
      </c>
      <c r="L32" s="18">
        <f>SUM('Mountaineer:Charles Town'!L29)</f>
        <v>7470317.2600000026</v>
      </c>
      <c r="M32" s="7">
        <f>SUM('Mountaineer:Charles Town'!M29)</f>
        <v>3473697.52</v>
      </c>
      <c r="N32" s="7">
        <f>SUM('Mountaineer:Charles Town'!N29)</f>
        <v>2241095.15</v>
      </c>
      <c r="O32" s="7">
        <f>SUM('Mountaineer:Charles Town'!O29)</f>
        <v>959935.76</v>
      </c>
      <c r="P32" s="7">
        <f>SUM('Mountaineer:Charles Town'!P29)</f>
        <v>470629.99</v>
      </c>
      <c r="Q32" s="7">
        <f>SUM('Mountaineer:Charles Town'!Q29)</f>
        <v>74703.179999999993</v>
      </c>
      <c r="R32" s="7">
        <f>SUM('Mountaineer:Charles Town'!R29)</f>
        <v>50424.65</v>
      </c>
      <c r="S32" s="7">
        <f>SUM('Mountaineer:Charles Town'!S29)</f>
        <v>50424.65</v>
      </c>
      <c r="T32" s="7">
        <f>SUM('Mountaineer:Charles Town'!T29)</f>
        <v>94543.06</v>
      </c>
      <c r="U32" s="7">
        <f>SUM('Mountaineer:Charles Town'!U29)</f>
        <v>54863.299999999996</v>
      </c>
      <c r="V32" s="7">
        <f>SUM('Mountaineer:Charles Town'!V29)</f>
        <v>6412.7329322132264</v>
      </c>
      <c r="W32" s="5">
        <f>SUM('Mountaineer:Charles Town'!W29)</f>
        <v>4356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Mountaineer!A30</f>
        <v>45647</v>
      </c>
      <c r="B33" s="7">
        <f>SUM('Mountaineer:Charles Town'!B30)</f>
        <v>88594987.780000001</v>
      </c>
      <c r="C33" s="7">
        <f>SUM('Mountaineer:Charles Town'!C30)</f>
        <v>79733041.860000014</v>
      </c>
      <c r="D33" s="7">
        <f>SUM('Mountaineer:Charles Town'!D30)</f>
        <v>1459142.19</v>
      </c>
      <c r="E33" s="7">
        <f>SUM('Mountaineer:Charles Town'!E30)</f>
        <v>7402803.7299999893</v>
      </c>
      <c r="F33" s="7">
        <f>SUM('Mountaineer:Charles Town'!F30)</f>
        <v>296112.17000000004</v>
      </c>
      <c r="G33" s="7">
        <f>SUM('Mountaineer:Charles Town'!G30)</f>
        <v>0</v>
      </c>
      <c r="H33" s="7">
        <f>SUM('Mountaineer:Charles Town'!H30)</f>
        <v>7106691.5599999893</v>
      </c>
      <c r="I33" s="7">
        <f>SUM('Mountaineer:Charles Town'!I30)</f>
        <v>0</v>
      </c>
      <c r="J33" s="7">
        <f>SUM('Mountaineer:Charles Town'!J30)</f>
        <v>0</v>
      </c>
      <c r="K33" s="7">
        <f>SUM('Mountaineer:Charles Town'!K30)</f>
        <v>0</v>
      </c>
      <c r="L33" s="18">
        <f>SUM('Mountaineer:Charles Town'!L30)</f>
        <v>7106691.5599999893</v>
      </c>
      <c r="M33" s="7">
        <f>SUM('Mountaineer:Charles Town'!M30)</f>
        <v>3304611.58</v>
      </c>
      <c r="N33" s="7">
        <f>SUM('Mountaineer:Charles Town'!N30)</f>
        <v>2132007.4500000002</v>
      </c>
      <c r="O33" s="7">
        <f>SUM('Mountaineer:Charles Town'!O30)</f>
        <v>913209.86</v>
      </c>
      <c r="P33" s="7">
        <f>SUM('Mountaineer:Charles Town'!P30)</f>
        <v>447721.56999999995</v>
      </c>
      <c r="Q33" s="7">
        <f>SUM('Mountaineer:Charles Town'!Q30)</f>
        <v>71066.92</v>
      </c>
      <c r="R33" s="7">
        <f>SUM('Mountaineer:Charles Town'!R30)</f>
        <v>47970.17</v>
      </c>
      <c r="S33" s="7">
        <f>SUM('Mountaineer:Charles Town'!S30)</f>
        <v>47970.17</v>
      </c>
      <c r="T33" s="7">
        <f>SUM('Mountaineer:Charles Town'!T30)</f>
        <v>90150.720000000001</v>
      </c>
      <c r="U33" s="7">
        <f>SUM('Mountaineer:Charles Town'!U30)</f>
        <v>51983.12</v>
      </c>
      <c r="V33" s="7">
        <f>SUM('Mountaineer:Charles Town'!V30)</f>
        <v>6090.372331020867</v>
      </c>
      <c r="W33" s="5">
        <f>SUM('Mountaineer:Charles Town'!W30)</f>
        <v>4383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Mountaineer!A31</f>
        <v>45654</v>
      </c>
      <c r="B34" s="7">
        <f>SUM('Mountaineer:Charles Town'!B31)</f>
        <v>130561071.12</v>
      </c>
      <c r="C34" s="7">
        <f>SUM('Mountaineer:Charles Town'!C31)</f>
        <v>117456818.94999999</v>
      </c>
      <c r="D34" s="7">
        <f>SUM('Mountaineer:Charles Town'!D31)</f>
        <v>1891440.33</v>
      </c>
      <c r="E34" s="7">
        <f>SUM('Mountaineer:Charles Town'!E31)</f>
        <v>11212811.840000005</v>
      </c>
      <c r="F34" s="7">
        <f>SUM('Mountaineer:Charles Town'!F31)</f>
        <v>448512.47</v>
      </c>
      <c r="G34" s="7">
        <f>SUM('Mountaineer:Charles Town'!G31)</f>
        <v>0</v>
      </c>
      <c r="H34" s="7">
        <f>SUM('Mountaineer:Charles Town'!H31)</f>
        <v>10764299.370000005</v>
      </c>
      <c r="I34" s="7">
        <f>SUM('Mountaineer:Charles Town'!I31)</f>
        <v>0</v>
      </c>
      <c r="J34" s="7">
        <f>SUM('Mountaineer:Charles Town'!J31)</f>
        <v>0</v>
      </c>
      <c r="K34" s="7">
        <f>SUM('Mountaineer:Charles Town'!K31)</f>
        <v>0</v>
      </c>
      <c r="L34" s="18">
        <f>SUM('Mountaineer:Charles Town'!L31)</f>
        <v>10764299.370000005</v>
      </c>
      <c r="M34" s="7">
        <f>SUM('Mountaineer:Charles Town'!M31)</f>
        <v>5005399.2200000007</v>
      </c>
      <c r="N34" s="7">
        <f>SUM('Mountaineer:Charles Town'!N31)</f>
        <v>3229289.7800000003</v>
      </c>
      <c r="O34" s="7">
        <f>SUM('Mountaineer:Charles Town'!O31)</f>
        <v>1383212.46</v>
      </c>
      <c r="P34" s="7">
        <f>SUM('Mountaineer:Charles Town'!P31)</f>
        <v>678150.8600000001</v>
      </c>
      <c r="Q34" s="7">
        <f>SUM('Mountaineer:Charles Town'!Q31)</f>
        <v>107643.01</v>
      </c>
      <c r="R34" s="7">
        <f>SUM('Mountaineer:Charles Town'!R31)</f>
        <v>72659.010000000009</v>
      </c>
      <c r="S34" s="7">
        <f>SUM('Mountaineer:Charles Town'!S31)</f>
        <v>72659.010000000009</v>
      </c>
      <c r="T34" s="7">
        <f>SUM('Mountaineer:Charles Town'!T31)</f>
        <v>118061.53</v>
      </c>
      <c r="U34" s="7">
        <f>SUM('Mountaineer:Charles Town'!U31)</f>
        <v>97224.489999999991</v>
      </c>
      <c r="V34" s="7">
        <f>SUM('Mountaineer:Charles Town'!V31)</f>
        <v>9147.6015304589</v>
      </c>
      <c r="W34" s="5">
        <f>SUM('Mountaineer:Charles Town'!W31)</f>
        <v>4433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Mountaineer!A32</f>
        <v>45661</v>
      </c>
      <c r="B35" s="7">
        <f>SUM('Mountaineer:Charles Town'!B32)</f>
        <v>133060680.95000002</v>
      </c>
      <c r="C35" s="7">
        <f>SUM('Mountaineer:Charles Town'!C32)</f>
        <v>120041918.45999999</v>
      </c>
      <c r="D35" s="7">
        <f>SUM('Mountaineer:Charles Town'!D32)</f>
        <v>2122878.61</v>
      </c>
      <c r="E35" s="7">
        <f>SUM('Mountaineer:Charles Town'!E32)</f>
        <v>10895883.880000014</v>
      </c>
      <c r="F35" s="7">
        <f>SUM('Mountaineer:Charles Town'!F32)</f>
        <v>390256.49</v>
      </c>
      <c r="G35" s="7">
        <f>SUM('Mountaineer:Charles Town'!G32)</f>
        <v>45578.86</v>
      </c>
      <c r="H35" s="7">
        <f>SUM('Mountaineer:Charles Town'!H32)</f>
        <v>10460048.530000012</v>
      </c>
      <c r="I35" s="7">
        <f>SUM('Mountaineer:Charles Town'!I32)</f>
        <v>0</v>
      </c>
      <c r="J35" s="7">
        <f>SUM('Mountaineer:Charles Town'!J32)</f>
        <v>0</v>
      </c>
      <c r="K35" s="7">
        <f>SUM('Mountaineer:Charles Town'!K32)</f>
        <v>0</v>
      </c>
      <c r="L35" s="18">
        <f>SUM('Mountaineer:Charles Town'!L32)</f>
        <v>10460048.530000012</v>
      </c>
      <c r="M35" s="7">
        <f>SUM('Mountaineer:Charles Town'!M32)</f>
        <v>4863922.5599999996</v>
      </c>
      <c r="N35" s="7">
        <f>SUM('Mountaineer:Charles Town'!N32)</f>
        <v>3138014.5999999996</v>
      </c>
      <c r="O35" s="7">
        <f>SUM('Mountaineer:Charles Town'!O32)</f>
        <v>1344116.24</v>
      </c>
      <c r="P35" s="7">
        <f>SUM('Mountaineer:Charles Town'!P32)</f>
        <v>658983.05000000005</v>
      </c>
      <c r="Q35" s="7">
        <f>SUM('Mountaineer:Charles Town'!Q32)</f>
        <v>104600.48</v>
      </c>
      <c r="R35" s="7">
        <f>SUM('Mountaineer:Charles Town'!R32)</f>
        <v>70605.320000000007</v>
      </c>
      <c r="S35" s="7">
        <f>SUM('Mountaineer:Charles Town'!S32)</f>
        <v>70605.320000000007</v>
      </c>
      <c r="T35" s="7">
        <f>SUM('Mountaineer:Charles Town'!T32)</f>
        <v>104600.48</v>
      </c>
      <c r="U35" s="7">
        <f>SUM('Mountaineer:Charles Town'!U32)</f>
        <v>104600.48</v>
      </c>
      <c r="V35" s="7">
        <f>SUM('Mountaineer:Charles Town'!V32)</f>
        <v>8827.1368453520718</v>
      </c>
      <c r="W35" s="5">
        <f>SUM('Mountaineer:Charles Town'!W32)</f>
        <v>4449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Mountaineer!A33</f>
        <v>45668</v>
      </c>
      <c r="B36" s="7">
        <f>SUM('Mountaineer:Charles Town'!B33)</f>
        <v>73431516.370000005</v>
      </c>
      <c r="C36" s="7">
        <f>SUM('Mountaineer:Charles Town'!C33)</f>
        <v>66006748.759999998</v>
      </c>
      <c r="D36" s="7">
        <f>SUM('Mountaineer:Charles Town'!D33)</f>
        <v>1322762.94</v>
      </c>
      <c r="E36" s="7">
        <f>SUM('Mountaineer:Charles Town'!E33)</f>
        <v>6102004.6699999962</v>
      </c>
      <c r="F36" s="7">
        <f>SUM('Mountaineer:Charles Town'!F33)</f>
        <v>95964.87</v>
      </c>
      <c r="G36" s="7">
        <f>SUM('Mountaineer:Charles Town'!G33)</f>
        <v>148115.32</v>
      </c>
      <c r="H36" s="7">
        <f>SUM('Mountaineer:Charles Town'!H33)</f>
        <v>5857924.4799999967</v>
      </c>
      <c r="I36" s="7">
        <f>SUM('Mountaineer:Charles Town'!I33)</f>
        <v>63771.73</v>
      </c>
      <c r="J36" s="7">
        <f>SUM('Mountaineer:Charles Town'!J33)</f>
        <v>39666.019999999997</v>
      </c>
      <c r="K36" s="7">
        <f>SUM('Mountaineer:Charles Town'!K33)</f>
        <v>24105.71</v>
      </c>
      <c r="L36" s="18">
        <f>SUM('Mountaineer:Charles Town'!L33)</f>
        <v>5794152.7499999963</v>
      </c>
      <c r="M36" s="7">
        <f>SUM('Mountaineer:Charles Town'!M33)</f>
        <v>2668453.48</v>
      </c>
      <c r="N36" s="7">
        <f>SUM('Mountaineer:Charles Town'!N33)</f>
        <v>1566062.13</v>
      </c>
      <c r="O36" s="7">
        <f>SUM('Mountaineer:Charles Town'!O33)</f>
        <v>960926.09999999986</v>
      </c>
      <c r="P36" s="7">
        <f>SUM('Mountaineer:Charles Town'!P33)</f>
        <v>349535.1</v>
      </c>
      <c r="Q36" s="7">
        <f>SUM('Mountaineer:Charles Town'!Q33)</f>
        <v>55071.8</v>
      </c>
      <c r="R36" s="7">
        <f>SUM('Mountaineer:Charles Town'!R33)</f>
        <v>39110.54</v>
      </c>
      <c r="S36" s="7">
        <f>SUM('Mountaineer:Charles Town'!S33)</f>
        <v>39110.54</v>
      </c>
      <c r="T36" s="7">
        <f>SUM('Mountaineer:Charles Town'!T33)</f>
        <v>57941.53</v>
      </c>
      <c r="U36" s="7">
        <f>SUM('Mountaineer:Charles Town'!U33)</f>
        <v>57941.53</v>
      </c>
      <c r="V36" s="7">
        <f>SUM('Mountaineer:Charles Town'!V33)</f>
        <v>4954.9540179072928</v>
      </c>
      <c r="W36" s="5">
        <f>SUM('Mountaineer:Charles Town'!W33)</f>
        <v>4185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Mountaineer!A34</f>
        <v>45675</v>
      </c>
      <c r="B37" s="7">
        <f>SUM('Mountaineer:Charles Town'!B34)</f>
        <v>95508877.149999991</v>
      </c>
      <c r="C37" s="7">
        <f>SUM('Mountaineer:Charles Town'!C34)</f>
        <v>85791486.390000001</v>
      </c>
      <c r="D37" s="7">
        <f>SUM('Mountaineer:Charles Town'!D34)</f>
        <v>1608883.92</v>
      </c>
      <c r="E37" s="7">
        <f>SUM('Mountaineer:Charles Town'!E34)</f>
        <v>8108506.8399999924</v>
      </c>
      <c r="F37" s="7">
        <f>SUM('Mountaineer:Charles Town'!F34)</f>
        <v>138864.51</v>
      </c>
      <c r="G37" s="7">
        <f>SUM('Mountaineer:Charles Town'!G34)</f>
        <v>185475.77</v>
      </c>
      <c r="H37" s="7">
        <f>SUM('Mountaineer:Charles Town'!H34)</f>
        <v>7784166.5599999931</v>
      </c>
      <c r="I37" s="7">
        <f>SUM('Mountaineer:Charles Town'!I34)</f>
        <v>445141.86</v>
      </c>
      <c r="J37" s="7">
        <f>SUM('Mountaineer:Charles Town'!J34)</f>
        <v>276878.24</v>
      </c>
      <c r="K37" s="7">
        <f>SUM('Mountaineer:Charles Town'!K34)</f>
        <v>168263.62</v>
      </c>
      <c r="L37" s="18">
        <f>SUM('Mountaineer:Charles Town'!L34)</f>
        <v>7339024.6999999927</v>
      </c>
      <c r="M37" s="7">
        <f>SUM('Mountaineer:Charles Town'!M34)</f>
        <v>3232364.04</v>
      </c>
      <c r="N37" s="7">
        <f>SUM('Mountaineer:Charles Town'!N34)</f>
        <v>999824.45000000007</v>
      </c>
      <c r="O37" s="7">
        <f>SUM('Mountaineer:Charles Town'!O34)</f>
        <v>2453430.96</v>
      </c>
      <c r="P37" s="7">
        <f>SUM('Mountaineer:Charles Town'!P34)</f>
        <v>354189.08999999997</v>
      </c>
      <c r="Q37" s="7">
        <f>SUM('Mountaineer:Charles Town'!Q34)</f>
        <v>53358.86</v>
      </c>
      <c r="R37" s="7">
        <f>SUM('Mountaineer:Charles Town'!R34)</f>
        <v>49538.41</v>
      </c>
      <c r="S37" s="7">
        <f>SUM('Mountaineer:Charles Town'!S34)</f>
        <v>49538.41</v>
      </c>
      <c r="T37" s="7">
        <f>SUM('Mountaineer:Charles Town'!T34)</f>
        <v>73390.25</v>
      </c>
      <c r="U37" s="7">
        <f>SUM('Mountaineer:Charles Town'!U34)</f>
        <v>73390.23</v>
      </c>
      <c r="V37" s="7">
        <f>SUM('Mountaineer:Charles Town'!V34)</f>
        <v>6722.7771788077889</v>
      </c>
      <c r="W37" s="5">
        <f>SUM('Mountaineer:Charles Town'!W34)</f>
        <v>4323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Mountaineer!A35</f>
        <v>45682</v>
      </c>
      <c r="B38" s="7">
        <f>SUM('Mountaineer:Charles Town'!B35)</f>
        <v>94944994.420000017</v>
      </c>
      <c r="C38" s="7">
        <f>SUM('Mountaineer:Charles Town'!C35)</f>
        <v>85711610.609999999</v>
      </c>
      <c r="D38" s="7">
        <f>SUM('Mountaineer:Charles Town'!D35)</f>
        <v>1596921.37</v>
      </c>
      <c r="E38" s="7">
        <f>SUM('Mountaineer:Charles Town'!E35)</f>
        <v>7636462.4400000079</v>
      </c>
      <c r="F38" s="7">
        <f>SUM('Mountaineer:Charles Town'!F35)</f>
        <v>142177.98000000001</v>
      </c>
      <c r="G38" s="7">
        <f>SUM('Mountaineer:Charles Town'!G35)</f>
        <v>163280.50999999998</v>
      </c>
      <c r="H38" s="7">
        <f>SUM('Mountaineer:Charles Town'!H35)</f>
        <v>7331003.9500000086</v>
      </c>
      <c r="I38" s="7">
        <f>SUM('Mountaineer:Charles Town'!I35)</f>
        <v>391873.26</v>
      </c>
      <c r="J38" s="7">
        <f>SUM('Mountaineer:Charles Town'!J35)</f>
        <v>243745.17</v>
      </c>
      <c r="K38" s="7">
        <f>SUM('Mountaineer:Charles Town'!K35)</f>
        <v>148128.09</v>
      </c>
      <c r="L38" s="18">
        <f>SUM('Mountaineer:Charles Town'!L35)</f>
        <v>6939130.6900000088</v>
      </c>
      <c r="M38" s="7">
        <f>SUM('Mountaineer:Charles Town'!M35)</f>
        <v>3067987.1100000003</v>
      </c>
      <c r="N38" s="7">
        <f>SUM('Mountaineer:Charles Town'!N35)</f>
        <v>1023681.42</v>
      </c>
      <c r="O38" s="7">
        <f>SUM('Mountaineer:Charles Town'!O35)</f>
        <v>2221304.2399999998</v>
      </c>
      <c r="P38" s="7">
        <f>SUM('Mountaineer:Charles Town'!P35)</f>
        <v>341940.03</v>
      </c>
      <c r="Q38" s="7">
        <f>SUM('Mountaineer:Charles Town'!Q35)</f>
        <v>51757.009999999995</v>
      </c>
      <c r="R38" s="7">
        <f>SUM('Mountaineer:Charles Town'!R35)</f>
        <v>46839.13</v>
      </c>
      <c r="S38" s="7">
        <f>SUM('Mountaineer:Charles Town'!S35)</f>
        <v>46839.13</v>
      </c>
      <c r="T38" s="7">
        <f>SUM('Mountaineer:Charles Town'!T35)</f>
        <v>69391.320000000007</v>
      </c>
      <c r="U38" s="7">
        <f>SUM('Mountaineer:Charles Town'!U35)</f>
        <v>69391.3</v>
      </c>
      <c r="V38" s="7">
        <f>SUM('Mountaineer:Charles Town'!V35)</f>
        <v>6405.2194358968227</v>
      </c>
      <c r="W38" s="5">
        <f>SUM('Mountaineer:Charles Town'!W35)</f>
        <v>4326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Mountaineer!A36</f>
        <v>45689</v>
      </c>
      <c r="B39" s="7">
        <f>SUM('Mountaineer:Charles Town'!B36)</f>
        <v>105748763.82999998</v>
      </c>
      <c r="C39" s="7">
        <f>SUM('Mountaineer:Charles Town'!C36)</f>
        <v>94864010.520000011</v>
      </c>
      <c r="D39" s="7">
        <f>SUM('Mountaineer:Charles Town'!D36)</f>
        <v>1700630.33</v>
      </c>
      <c r="E39" s="7">
        <f>SUM('Mountaineer:Charles Town'!E36)</f>
        <v>9184122.9799999855</v>
      </c>
      <c r="F39" s="7">
        <f>SUM('Mountaineer:Charles Town'!F36)</f>
        <v>160088.25</v>
      </c>
      <c r="G39" s="7">
        <f>SUM('Mountaineer:Charles Town'!G36)</f>
        <v>207276.66</v>
      </c>
      <c r="H39" s="7">
        <f>SUM('Mountaineer:Charles Town'!H36)</f>
        <v>8816758.0699999854</v>
      </c>
      <c r="I39" s="7">
        <f>SUM('Mountaineer:Charles Town'!I36)</f>
        <v>497464.01</v>
      </c>
      <c r="J39" s="7">
        <f>SUM('Mountaineer:Charles Town'!J36)</f>
        <v>309422.61</v>
      </c>
      <c r="K39" s="7">
        <f>SUM('Mountaineer:Charles Town'!K36)</f>
        <v>188041.4</v>
      </c>
      <c r="L39" s="18">
        <f>SUM('Mountaineer:Charles Town'!L36)</f>
        <v>8319294.0599999866</v>
      </c>
      <c r="M39" s="7">
        <f>SUM('Mountaineer:Charles Town'!M36)</f>
        <v>3666998.83</v>
      </c>
      <c r="N39" s="7">
        <f>SUM('Mountaineer:Charles Town'!N36)</f>
        <v>1152635.3799999999</v>
      </c>
      <c r="O39" s="7">
        <f>SUM('Mountaineer:Charles Town'!O36)</f>
        <v>2756924.62</v>
      </c>
      <c r="P39" s="7">
        <f>SUM('Mountaineer:Charles Town'!P36)</f>
        <v>403231.79</v>
      </c>
      <c r="Q39" s="7">
        <f>SUM('Mountaineer:Charles Town'!Q36)</f>
        <v>60807.06</v>
      </c>
      <c r="R39" s="7">
        <f>SUM('Mountaineer:Charles Town'!R36)</f>
        <v>56155.25</v>
      </c>
      <c r="S39" s="7">
        <f>SUM('Mountaineer:Charles Town'!S36)</f>
        <v>56155.25</v>
      </c>
      <c r="T39" s="7">
        <f>SUM('Mountaineer:Charles Town'!T36)</f>
        <v>83192.929999999993</v>
      </c>
      <c r="U39" s="7">
        <f>SUM('Mountaineer:Charles Town'!U36)</f>
        <v>83192.950000000012</v>
      </c>
      <c r="V39" s="7">
        <f>SUM('Mountaineer:Charles Town'!V36)</f>
        <v>7647.6361075674904</v>
      </c>
      <c r="W39" s="5">
        <f>SUM('Mountaineer:Charles Town'!W36)</f>
        <v>4318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Mountaineer!A37</f>
        <v>45696</v>
      </c>
      <c r="B40" s="7">
        <f>SUM('Mountaineer:Charles Town'!B37)</f>
        <v>99310712.340000004</v>
      </c>
      <c r="C40" s="7">
        <f>SUM('Mountaineer:Charles Town'!C37)</f>
        <v>89824574.38000001</v>
      </c>
      <c r="D40" s="7">
        <f>SUM('Mountaineer:Charles Town'!D37)</f>
        <v>1644201.37</v>
      </c>
      <c r="E40" s="7">
        <f>SUM('Mountaineer:Charles Town'!E37)</f>
        <v>7841936.5900000026</v>
      </c>
      <c r="F40" s="7">
        <f>SUM('Mountaineer:Charles Town'!F37)</f>
        <v>154031.57</v>
      </c>
      <c r="G40" s="7">
        <f>SUM('Mountaineer:Charles Town'!G37)</f>
        <v>159645.89000000001</v>
      </c>
      <c r="H40" s="7">
        <f>SUM('Mountaineer:Charles Town'!H37)</f>
        <v>7528259.1300000027</v>
      </c>
      <c r="I40" s="7">
        <f>SUM('Mountaineer:Charles Town'!I37)</f>
        <v>383150.14</v>
      </c>
      <c r="J40" s="7">
        <f>SUM('Mountaineer:Charles Town'!J37)</f>
        <v>238319.39</v>
      </c>
      <c r="K40" s="7">
        <f>SUM('Mountaineer:Charles Town'!K37)</f>
        <v>144830.75</v>
      </c>
      <c r="L40" s="18">
        <f>SUM('Mountaineer:Charles Town'!L37)</f>
        <v>7145108.9900000021</v>
      </c>
      <c r="M40" s="7">
        <f>SUM('Mountaineer:Charles Town'!M37)</f>
        <v>3167299.87</v>
      </c>
      <c r="N40" s="7">
        <f>SUM('Mountaineer:Charles Town'!N37)</f>
        <v>1109027.3599999999</v>
      </c>
      <c r="O40" s="7">
        <f>SUM('Mountaineer:Charles Town'!O37)</f>
        <v>2218174.89</v>
      </c>
      <c r="P40" s="7">
        <f>SUM('Mountaineer:Charles Town'!P37)</f>
        <v>357036.38</v>
      </c>
      <c r="Q40" s="7">
        <f>SUM('Mountaineer:Charles Town'!Q37)</f>
        <v>54209.33</v>
      </c>
      <c r="R40" s="7">
        <f>SUM('Mountaineer:Charles Town'!R37)</f>
        <v>48229.49</v>
      </c>
      <c r="S40" s="7">
        <f>SUM('Mountaineer:Charles Town'!S37)</f>
        <v>48229.49</v>
      </c>
      <c r="T40" s="7">
        <f>SUM('Mountaineer:Charles Town'!T37)</f>
        <v>71451.100000000006</v>
      </c>
      <c r="U40" s="7">
        <f>SUM('Mountaineer:Charles Town'!U37)</f>
        <v>71451.08</v>
      </c>
      <c r="V40" s="7">
        <f>SUM('Mountaineer:Charles Town'!V37)</f>
        <v>6710.0768627026609</v>
      </c>
      <c r="W40" s="5">
        <f>SUM('Mountaineer:Charles Town'!W37)</f>
        <v>4311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Mountaineer!A38</f>
        <v>45703</v>
      </c>
      <c r="B41" s="7">
        <f>SUM('Mountaineer:Charles Town'!B38)</f>
        <v>100680656.36</v>
      </c>
      <c r="C41" s="7">
        <f>SUM('Mountaineer:Charles Town'!C38)</f>
        <v>90766888.780000001</v>
      </c>
      <c r="D41" s="7">
        <f>SUM('Mountaineer:Charles Town'!D38)</f>
        <v>1557277.8800000001</v>
      </c>
      <c r="E41" s="7">
        <f>SUM('Mountaineer:Charles Town'!E38)</f>
        <v>8356489.6999999965</v>
      </c>
      <c r="F41" s="7">
        <f>SUM('Mountaineer:Charles Town'!F38)</f>
        <v>146246.23000000001</v>
      </c>
      <c r="G41" s="7">
        <f>SUM('Mountaineer:Charles Town'!G38)</f>
        <v>188013.37999999998</v>
      </c>
      <c r="H41" s="7">
        <f>SUM('Mountaineer:Charles Town'!H38)</f>
        <v>8022230.0899999961</v>
      </c>
      <c r="I41" s="7">
        <f>SUM('Mountaineer:Charles Town'!I38)</f>
        <v>451232.06</v>
      </c>
      <c r="J41" s="7">
        <f>SUM('Mountaineer:Charles Town'!J38)</f>
        <v>280666.34000000003</v>
      </c>
      <c r="K41" s="7">
        <f>SUM('Mountaineer:Charles Town'!K38)</f>
        <v>170565.72</v>
      </c>
      <c r="L41" s="18">
        <f>SUM('Mountaineer:Charles Town'!L38)</f>
        <v>7570998.0299999956</v>
      </c>
      <c r="M41" s="7">
        <f>SUM('Mountaineer:Charles Town'!M38)</f>
        <v>3337765.09</v>
      </c>
      <c r="N41" s="7">
        <f>SUM('Mountaineer:Charles Town'!N38)</f>
        <v>1052972.8700000001</v>
      </c>
      <c r="O41" s="7">
        <f>SUM('Mountaineer:Charles Town'!O38)</f>
        <v>2503903.64</v>
      </c>
      <c r="P41" s="7">
        <f>SUM('Mountaineer:Charles Town'!P38)</f>
        <v>367323.48</v>
      </c>
      <c r="Q41" s="7">
        <f>SUM('Mountaineer:Charles Town'!Q38)</f>
        <v>55404.53</v>
      </c>
      <c r="R41" s="7">
        <f>SUM('Mountaineer:Charles Town'!R38)</f>
        <v>51104.24</v>
      </c>
      <c r="S41" s="7">
        <f>SUM('Mountaineer:Charles Town'!S38)</f>
        <v>51104.24</v>
      </c>
      <c r="T41" s="7">
        <f>SUM('Mountaineer:Charles Town'!T38)</f>
        <v>75709.959999999992</v>
      </c>
      <c r="U41" s="7">
        <f>SUM('Mountaineer:Charles Town'!U38)</f>
        <v>75709.98</v>
      </c>
      <c r="V41" s="7">
        <f>SUM('Mountaineer:Charles Town'!V38)</f>
        <v>7228.3528972081622</v>
      </c>
      <c r="W41" s="5">
        <f>SUM('Mountaineer:Charles Town'!W38)</f>
        <v>4086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Mountaineer!A39</f>
        <v>45710</v>
      </c>
      <c r="B42" s="7">
        <f>SUM('Mountaineer:Charles Town'!B39)</f>
        <v>113941701.50999999</v>
      </c>
      <c r="C42" s="7">
        <f>SUM('Mountaineer:Charles Town'!C39)</f>
        <v>102693644.65000001</v>
      </c>
      <c r="D42" s="7">
        <f>SUM('Mountaineer:Charles Town'!D39)</f>
        <v>1856602.46</v>
      </c>
      <c r="E42" s="7">
        <f>SUM('Mountaineer:Charles Town'!E39)</f>
        <v>9391454.3999999985</v>
      </c>
      <c r="F42" s="7">
        <f>SUM('Mountaineer:Charles Town'!F39)</f>
        <v>158898.84999999998</v>
      </c>
      <c r="G42" s="7">
        <f>SUM('Mountaineer:Charles Town'!G39)</f>
        <v>216759.3</v>
      </c>
      <c r="H42" s="7">
        <f>SUM('Mountaineer:Charles Town'!H39)</f>
        <v>9015796.2499999981</v>
      </c>
      <c r="I42" s="7">
        <f>SUM('Mountaineer:Charles Town'!I39)</f>
        <v>520222.32</v>
      </c>
      <c r="J42" s="7">
        <f>SUM('Mountaineer:Charles Town'!J39)</f>
        <v>323578.28000000003</v>
      </c>
      <c r="K42" s="7">
        <f>SUM('Mountaineer:Charles Town'!K39)</f>
        <v>196644.04</v>
      </c>
      <c r="L42" s="18">
        <f>SUM('Mountaineer:Charles Town'!L39)</f>
        <v>8495573.9299999978</v>
      </c>
      <c r="M42" s="7">
        <f>SUM('Mountaineer:Charles Town'!M39)</f>
        <v>3739751.84</v>
      </c>
      <c r="N42" s="7">
        <f>SUM('Mountaineer:Charles Town'!N39)</f>
        <v>1144071.92</v>
      </c>
      <c r="O42" s="7">
        <f>SUM('Mountaineer:Charles Town'!O39)</f>
        <v>2856795.57</v>
      </c>
      <c r="P42" s="7">
        <f>SUM('Mountaineer:Charles Town'!P39)</f>
        <v>408807.13</v>
      </c>
      <c r="Q42" s="7">
        <f>SUM('Mountaineer:Charles Town'!Q39)</f>
        <v>61545.729999999996</v>
      </c>
      <c r="R42" s="7">
        <f>SUM('Mountaineer:Charles Town'!R39)</f>
        <v>57345.14</v>
      </c>
      <c r="S42" s="7">
        <f>SUM('Mountaineer:Charles Town'!S39)</f>
        <v>57345.14</v>
      </c>
      <c r="T42" s="7">
        <f>SUM('Mountaineer:Charles Town'!T39)</f>
        <v>84955.73</v>
      </c>
      <c r="U42" s="7">
        <f>SUM('Mountaineer:Charles Town'!U39)</f>
        <v>84955.73</v>
      </c>
      <c r="V42" s="7">
        <f>SUM('Mountaineer:Charles Town'!V39)</f>
        <v>7817.3590231155704</v>
      </c>
      <c r="W42" s="5">
        <f>SUM('Mountaineer:Charles Town'!W39)</f>
        <v>4258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Mountaineer!A40</f>
        <v>45717</v>
      </c>
      <c r="B43" s="7">
        <f>SUM('Mountaineer:Charles Town'!B40)</f>
        <v>120174790.14</v>
      </c>
      <c r="C43" s="7">
        <f>SUM('Mountaineer:Charles Town'!C40)</f>
        <v>108301864.44</v>
      </c>
      <c r="D43" s="7">
        <f>SUM('Mountaineer:Charles Town'!D40)</f>
        <v>2025748.8399999999</v>
      </c>
      <c r="E43" s="7">
        <f>SUM('Mountaineer:Charles Town'!E40)</f>
        <v>9847176.8599999994</v>
      </c>
      <c r="F43" s="7">
        <f>SUM('Mountaineer:Charles Town'!F40)</f>
        <v>176148.38</v>
      </c>
      <c r="G43" s="7">
        <f>SUM('Mountaineer:Charles Town'!G40)</f>
        <v>217738.66999999998</v>
      </c>
      <c r="H43" s="7">
        <f>SUM('Mountaineer:Charles Town'!H40)</f>
        <v>9453289.8100000005</v>
      </c>
      <c r="I43" s="7">
        <f>SUM('Mountaineer:Charles Town'!I40)</f>
        <v>522572.83</v>
      </c>
      <c r="J43" s="7">
        <f>SUM('Mountaineer:Charles Town'!J40)</f>
        <v>325040.3</v>
      </c>
      <c r="K43" s="7">
        <f>SUM('Mountaineer:Charles Town'!K40)</f>
        <v>197532.53</v>
      </c>
      <c r="L43" s="18">
        <f>SUM('Mountaineer:Charles Town'!L40)</f>
        <v>8930716.9800000004</v>
      </c>
      <c r="M43" s="7">
        <f>SUM('Mountaineer:Charles Town'!M40)</f>
        <v>3941141.4</v>
      </c>
      <c r="N43" s="7">
        <f>SUM('Mountaineer:Charles Town'!N40)</f>
        <v>1268268.44</v>
      </c>
      <c r="O43" s="7">
        <f>SUM('Mountaineer:Charles Town'!O40)</f>
        <v>2920686.7199999997</v>
      </c>
      <c r="P43" s="7">
        <f>SUM('Mountaineer:Charles Town'!P40)</f>
        <v>435649.98</v>
      </c>
      <c r="Q43" s="7">
        <f>SUM('Mountaineer:Charles Town'!Q40)</f>
        <v>65791.399999999994</v>
      </c>
      <c r="R43" s="7">
        <f>SUM('Mountaineer:Charles Town'!R40)</f>
        <v>60282.34</v>
      </c>
      <c r="S43" s="7">
        <f>SUM('Mountaineer:Charles Town'!S40)</f>
        <v>60282.34</v>
      </c>
      <c r="T43" s="7">
        <f>SUM('Mountaineer:Charles Town'!T40)</f>
        <v>89307.18</v>
      </c>
      <c r="U43" s="7">
        <f>SUM('Mountaineer:Charles Town'!U40)</f>
        <v>89307.18</v>
      </c>
      <c r="V43" s="7">
        <f>SUM('Mountaineer:Charles Town'!V40)</f>
        <v>8192.6817057171284</v>
      </c>
      <c r="W43" s="5">
        <f>SUM('Mountaineer:Charles Town'!W40)</f>
        <v>4322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Mountaineer!A41</f>
        <v>45724</v>
      </c>
      <c r="B44" s="7">
        <f>SUM('Mountaineer:Charles Town'!B41)</f>
        <v>117919568.86000001</v>
      </c>
      <c r="C44" s="7">
        <f>SUM('Mountaineer:Charles Town'!C41)</f>
        <v>106534142.34999999</v>
      </c>
      <c r="D44" s="7">
        <f>SUM('Mountaineer:Charles Town'!D41)</f>
        <v>1921331.49</v>
      </c>
      <c r="E44" s="7">
        <f>SUM('Mountaineer:Charles Town'!E41)</f>
        <v>9464095.0200000089</v>
      </c>
      <c r="F44" s="7">
        <f>SUM('Mountaineer:Charles Town'!F41)</f>
        <v>178514.63999999998</v>
      </c>
      <c r="G44" s="7">
        <f>SUM('Mountaineer:Charles Town'!G41)</f>
        <v>200049.16999999998</v>
      </c>
      <c r="H44" s="7">
        <f>SUM('Mountaineer:Charles Town'!H41)</f>
        <v>9085531.2100000083</v>
      </c>
      <c r="I44" s="7">
        <f>SUM('Mountaineer:Charles Town'!I41)</f>
        <v>480118.03</v>
      </c>
      <c r="J44" s="7">
        <f>SUM('Mountaineer:Charles Town'!J41)</f>
        <v>298633.40999999997</v>
      </c>
      <c r="K44" s="7">
        <f>SUM('Mountaineer:Charles Town'!K41)</f>
        <v>181484.62</v>
      </c>
      <c r="L44" s="18">
        <f>SUM('Mountaineer:Charles Town'!L41)</f>
        <v>8605413.180000009</v>
      </c>
      <c r="M44" s="7">
        <f>SUM('Mountaineer:Charles Town'!M41)</f>
        <v>3807069.33</v>
      </c>
      <c r="N44" s="7">
        <f>SUM('Mountaineer:Charles Town'!N41)</f>
        <v>1285305.26</v>
      </c>
      <c r="O44" s="7">
        <f>SUM('Mountaineer:Charles Town'!O41)</f>
        <v>2734836.08</v>
      </c>
      <c r="P44" s="7">
        <f>SUM('Mountaineer:Charles Town'!P41)</f>
        <v>425472.35</v>
      </c>
      <c r="Q44" s="7">
        <f>SUM('Mountaineer:Charles Town'!Q41)</f>
        <v>64448.820000000007</v>
      </c>
      <c r="R44" s="7">
        <f>SUM('Mountaineer:Charles Town'!R41)</f>
        <v>58086.54</v>
      </c>
      <c r="S44" s="7">
        <f>SUM('Mountaineer:Charles Town'!S41)</f>
        <v>58086.54</v>
      </c>
      <c r="T44" s="7">
        <f>SUM('Mountaineer:Charles Town'!T41)</f>
        <v>86054.140000000014</v>
      </c>
      <c r="U44" s="7">
        <f>SUM('Mountaineer:Charles Town'!U41)</f>
        <v>86054.12</v>
      </c>
      <c r="V44" s="7">
        <f>SUM('Mountaineer:Charles Town'!V41)</f>
        <v>8005.4697870119953</v>
      </c>
      <c r="W44" s="5">
        <f>SUM('Mountaineer:Charles Town'!W41)</f>
        <v>4316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Mountaineer!A42</f>
        <v>45731</v>
      </c>
      <c r="B45" s="7">
        <f>SUM('Mountaineer:Charles Town'!B42)</f>
        <v>113425822.63</v>
      </c>
      <c r="C45" s="7">
        <f>SUM('Mountaineer:Charles Town'!C42)</f>
        <v>102287248.13</v>
      </c>
      <c r="D45" s="7">
        <f>SUM('Mountaineer:Charles Town'!D42)</f>
        <v>1732848.75</v>
      </c>
      <c r="E45" s="7">
        <f>SUM('Mountaineer:Charles Town'!E42)</f>
        <v>9405725.7500000075</v>
      </c>
      <c r="F45" s="7">
        <f>SUM('Mountaineer:Charles Town'!F42)</f>
        <v>177645.4</v>
      </c>
      <c r="G45" s="7">
        <f>SUM('Mountaineer:Charles Town'!G42)</f>
        <v>198583.63</v>
      </c>
      <c r="H45" s="7">
        <f>SUM('Mountaineer:Charles Town'!H42)</f>
        <v>9029496.7200000063</v>
      </c>
      <c r="I45" s="7">
        <f>SUM('Mountaineer:Charles Town'!I42)</f>
        <v>476600.71</v>
      </c>
      <c r="J45" s="7">
        <f>SUM('Mountaineer:Charles Town'!J42)</f>
        <v>296445.64</v>
      </c>
      <c r="K45" s="7">
        <f>SUM('Mountaineer:Charles Town'!K42)</f>
        <v>180155.07</v>
      </c>
      <c r="L45" s="18">
        <f>SUM('Mountaineer:Charles Town'!L42)</f>
        <v>8552896.0100000072</v>
      </c>
      <c r="M45" s="7">
        <f>SUM('Mountaineer:Charles Town'!M42)</f>
        <v>3784073.37</v>
      </c>
      <c r="N45" s="7">
        <f>SUM('Mountaineer:Charles Town'!N42)</f>
        <v>1279046.97</v>
      </c>
      <c r="O45" s="7">
        <f>SUM('Mountaineer:Charles Town'!O42)</f>
        <v>2716153.2899999996</v>
      </c>
      <c r="P45" s="7">
        <f>SUM('Mountaineer:Charles Town'!P42)</f>
        <v>423018.48</v>
      </c>
      <c r="Q45" s="7">
        <f>SUM('Mountaineer:Charles Town'!Q42)</f>
        <v>64081.919999999998</v>
      </c>
      <c r="R45" s="7">
        <f>SUM('Mountaineer:Charles Town'!R42)</f>
        <v>57732.040000000008</v>
      </c>
      <c r="S45" s="7">
        <f>SUM('Mountaineer:Charles Town'!S42)</f>
        <v>57732.040000000008</v>
      </c>
      <c r="T45" s="7">
        <f>SUM('Mountaineer:Charles Town'!T42)</f>
        <v>85528.94</v>
      </c>
      <c r="U45" s="7">
        <f>SUM('Mountaineer:Charles Town'!U42)</f>
        <v>85528.959999999992</v>
      </c>
      <c r="V45" s="7">
        <f>SUM('Mountaineer:Charles Town'!V42)</f>
        <v>8013.904194728656</v>
      </c>
      <c r="W45" s="5">
        <f>SUM('Mountaineer:Charles Town'!W42)</f>
        <v>4341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Mountaineer!A43</f>
        <v>45738</v>
      </c>
      <c r="B46" s="7">
        <f>SUM('Mountaineer:Charles Town'!B43)</f>
        <v>118969846.2</v>
      </c>
      <c r="C46" s="7">
        <f>SUM('Mountaineer:Charles Town'!C43)</f>
        <v>107263180.19</v>
      </c>
      <c r="D46" s="7">
        <f>SUM('Mountaineer:Charles Town'!D43)</f>
        <v>1876962</v>
      </c>
      <c r="E46" s="7">
        <f>SUM('Mountaineer:Charles Town'!E43)</f>
        <v>9829704.0099999998</v>
      </c>
      <c r="F46" s="7">
        <f>SUM('Mountaineer:Charles Town'!F43)</f>
        <v>183014.59</v>
      </c>
      <c r="G46" s="7">
        <f>SUM('Mountaineer:Charles Town'!G43)</f>
        <v>210173.58</v>
      </c>
      <c r="H46" s="7">
        <f>SUM('Mountaineer:Charles Town'!H43)</f>
        <v>9436515.8399999999</v>
      </c>
      <c r="I46" s="7">
        <f>SUM('Mountaineer:Charles Town'!I43)</f>
        <v>504416.6</v>
      </c>
      <c r="J46" s="7">
        <f>SUM('Mountaineer:Charles Town'!J43)</f>
        <v>313747.13</v>
      </c>
      <c r="K46" s="7">
        <f>SUM('Mountaineer:Charles Town'!K43)</f>
        <v>190669.47</v>
      </c>
      <c r="L46" s="18">
        <f>SUM('Mountaineer:Charles Town'!L43)</f>
        <v>8932099.2400000002</v>
      </c>
      <c r="M46" s="7">
        <f>SUM('Mountaineer:Charles Town'!M43)</f>
        <v>3949137.4299999997</v>
      </c>
      <c r="N46" s="7">
        <f>SUM('Mountaineer:Charles Town'!N43)</f>
        <v>1317704.96</v>
      </c>
      <c r="O46" s="7">
        <f>SUM('Mountaineer:Charles Town'!O43)</f>
        <v>2859260.2399999998</v>
      </c>
      <c r="P46" s="7">
        <f>SUM('Mountaineer:Charles Town'!P43)</f>
        <v>440149.02</v>
      </c>
      <c r="Q46" s="7">
        <f>SUM('Mountaineer:Charles Town'!Q43)</f>
        <v>66622.25</v>
      </c>
      <c r="R46" s="7">
        <f>SUM('Mountaineer:Charles Town'!R43)</f>
        <v>60291.67</v>
      </c>
      <c r="S46" s="7">
        <f>SUM('Mountaineer:Charles Town'!S43)</f>
        <v>60291.67</v>
      </c>
      <c r="T46" s="7">
        <f>SUM('Mountaineer:Charles Town'!T43)</f>
        <v>89321.010000000009</v>
      </c>
      <c r="U46" s="7">
        <f>SUM('Mountaineer:Charles Town'!U43)</f>
        <v>89320.99</v>
      </c>
      <c r="V46" s="7">
        <f>SUM('Mountaineer:Charles Town'!V43)</f>
        <v>8154.0404658326006</v>
      </c>
      <c r="W46" s="5">
        <f>SUM('Mountaineer:Charles Town'!W43)</f>
        <v>4389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Mountaineer!A44</f>
        <v>45745</v>
      </c>
      <c r="B47" s="7">
        <f>SUM('Mountaineer:Charles Town'!B44)</f>
        <v>120342339.51000001</v>
      </c>
      <c r="C47" s="7">
        <f>SUM('Mountaineer:Charles Town'!C44)</f>
        <v>108354353.93000001</v>
      </c>
      <c r="D47" s="7">
        <f>SUM('Mountaineer:Charles Town'!D44)</f>
        <v>1917467.4300000002</v>
      </c>
      <c r="E47" s="7">
        <f>SUM('Mountaineer:Charles Town'!E44)</f>
        <v>10070518.149999997</v>
      </c>
      <c r="F47" s="7">
        <f>SUM('Mountaineer:Charles Town'!F44)</f>
        <v>186330.76</v>
      </c>
      <c r="G47" s="7">
        <f>SUM('Mountaineer:Charles Town'!G44)</f>
        <v>216489.96</v>
      </c>
      <c r="H47" s="7">
        <f>SUM('Mountaineer:Charles Town'!H44)</f>
        <v>9667697.429999996</v>
      </c>
      <c r="I47" s="7">
        <f>SUM('Mountaineer:Charles Town'!I44)</f>
        <v>519575.93</v>
      </c>
      <c r="J47" s="7">
        <f>SUM('Mountaineer:Charles Town'!J44)</f>
        <v>323176.23</v>
      </c>
      <c r="K47" s="7">
        <f>SUM('Mountaineer:Charles Town'!K44)</f>
        <v>196399.7</v>
      </c>
      <c r="L47" s="18">
        <f>SUM('Mountaineer:Charles Town'!L44)</f>
        <v>9148121.4999999963</v>
      </c>
      <c r="M47" s="7">
        <f>SUM('Mountaineer:Charles Town'!M44)</f>
        <v>4043448.26</v>
      </c>
      <c r="N47" s="7">
        <f>SUM('Mountaineer:Charles Town'!N44)</f>
        <v>1341581.47</v>
      </c>
      <c r="O47" s="7">
        <f>SUM('Mountaineer:Charles Town'!O44)</f>
        <v>2938454.66</v>
      </c>
      <c r="P47" s="7">
        <f>SUM('Mountaineer:Charles Town'!P44)</f>
        <v>450074.70999999996</v>
      </c>
      <c r="Q47" s="7">
        <f>SUM('Mountaineer:Charles Town'!Q44)</f>
        <v>68100.3</v>
      </c>
      <c r="R47" s="7">
        <f>SUM('Mountaineer:Charles Town'!R44)</f>
        <v>61749.83</v>
      </c>
      <c r="S47" s="7">
        <f>SUM('Mountaineer:Charles Town'!S44)</f>
        <v>61749.83</v>
      </c>
      <c r="T47" s="7">
        <f>SUM('Mountaineer:Charles Town'!T44)</f>
        <v>91481.209999999992</v>
      </c>
      <c r="U47" s="7">
        <f>SUM('Mountaineer:Charles Town'!U44)</f>
        <v>91481.23000000001</v>
      </c>
      <c r="V47" s="7">
        <f>SUM('Mountaineer:Charles Town'!V44)</f>
        <v>8394.3565101951062</v>
      </c>
      <c r="W47" s="5">
        <f>SUM('Mountaineer:Charles Town'!W44)</f>
        <v>4362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Mountaineer!A45</f>
        <v>45752</v>
      </c>
      <c r="B48" s="7">
        <f>SUM('Mountaineer:Charles Town'!B45)</f>
        <v>118025933.52</v>
      </c>
      <c r="C48" s="7">
        <f>SUM('Mountaineer:Charles Town'!C45)</f>
        <v>106073944.06999999</v>
      </c>
      <c r="D48" s="7">
        <f>SUM('Mountaineer:Charles Town'!D45)</f>
        <v>1917016.3499999999</v>
      </c>
      <c r="E48" s="7">
        <f>SUM('Mountaineer:Charles Town'!E45)</f>
        <v>10034973.100000009</v>
      </c>
      <c r="F48" s="7">
        <f>SUM('Mountaineer:Charles Town'!F45)</f>
        <v>178958.28</v>
      </c>
      <c r="G48" s="7">
        <f>SUM('Mountaineer:Charles Town'!G45)</f>
        <v>222440.65</v>
      </c>
      <c r="H48" s="7">
        <f>SUM('Mountaineer:Charles Town'!H45)</f>
        <v>9633574.1700000092</v>
      </c>
      <c r="I48" s="7">
        <f>SUM('Mountaineer:Charles Town'!I45)</f>
        <v>533857.56000000006</v>
      </c>
      <c r="J48" s="7">
        <f>SUM('Mountaineer:Charles Town'!J45)</f>
        <v>332059.40000000002</v>
      </c>
      <c r="K48" s="7">
        <f>SUM('Mountaineer:Charles Town'!K45)</f>
        <v>201798.16</v>
      </c>
      <c r="L48" s="18">
        <f>SUM('Mountaineer:Charles Town'!L45)</f>
        <v>9099716.6100000069</v>
      </c>
      <c r="M48" s="7">
        <f>SUM('Mountaineer:Charles Town'!M45)</f>
        <v>4015155.9200000004</v>
      </c>
      <c r="N48" s="7">
        <f>SUM('Mountaineer:Charles Town'!N45)</f>
        <v>1288499.6000000001</v>
      </c>
      <c r="O48" s="7">
        <f>SUM('Mountaineer:Charles Town'!O45)</f>
        <v>2980692.25</v>
      </c>
      <c r="P48" s="7">
        <f>SUM('Mountaineer:Charles Town'!P45)</f>
        <v>443554.77</v>
      </c>
      <c r="Q48" s="7">
        <f>SUM('Mountaineer:Charles Town'!Q45)</f>
        <v>66973.569999999992</v>
      </c>
      <c r="R48" s="7">
        <f>SUM('Mountaineer:Charles Town'!R45)</f>
        <v>61423.09</v>
      </c>
      <c r="S48" s="7">
        <f>SUM('Mountaineer:Charles Town'!S45)</f>
        <v>61423.09</v>
      </c>
      <c r="T48" s="7">
        <f>SUM('Mountaineer:Charles Town'!T45)</f>
        <v>90997.16</v>
      </c>
      <c r="U48" s="7">
        <f>SUM('Mountaineer:Charles Town'!U45)</f>
        <v>90997.16</v>
      </c>
      <c r="V48" s="7">
        <f>SUM('Mountaineer:Charles Town'!V45)</f>
        <v>8318.3811707372479</v>
      </c>
      <c r="W48" s="5">
        <f>SUM('Mountaineer:Charles Town'!W45)</f>
        <v>4358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Mountaineer!A46</f>
        <v>45759</v>
      </c>
      <c r="B49" s="7">
        <f>SUM('Mountaineer:Charles Town'!B46)</f>
        <v>113711155.28</v>
      </c>
      <c r="C49" s="7">
        <f>SUM('Mountaineer:Charles Town'!C46)</f>
        <v>102352295.69</v>
      </c>
      <c r="D49" s="7">
        <f>SUM('Mountaineer:Charles Town'!D46)</f>
        <v>1804012.29</v>
      </c>
      <c r="E49" s="7">
        <f>SUM('Mountaineer:Charles Town'!E46)</f>
        <v>9554847.3000000007</v>
      </c>
      <c r="F49" s="7">
        <f>SUM('Mountaineer:Charles Town'!F46)</f>
        <v>169480.05</v>
      </c>
      <c r="G49" s="7">
        <f>SUM('Mountaineer:Charles Town'!G46)</f>
        <v>212713.83</v>
      </c>
      <c r="H49" s="7">
        <f>SUM('Mountaineer:Charles Town'!H46)</f>
        <v>9172653.4200000018</v>
      </c>
      <c r="I49" s="7">
        <f>SUM('Mountaineer:Charles Town'!I46)</f>
        <v>510513.2</v>
      </c>
      <c r="J49" s="7">
        <f>SUM('Mountaineer:Charles Town'!J46)</f>
        <v>317539.21000000002</v>
      </c>
      <c r="K49" s="7">
        <f>SUM('Mountaineer:Charles Town'!K46)</f>
        <v>192973.99</v>
      </c>
      <c r="L49" s="18">
        <f>SUM('Mountaineer:Charles Town'!L46)</f>
        <v>8662140.2200000007</v>
      </c>
      <c r="M49" s="7">
        <f>SUM('Mountaineer:Charles Town'!M46)</f>
        <v>3821137.3499999996</v>
      </c>
      <c r="N49" s="7">
        <f>SUM('Mountaineer:Charles Town'!N46)</f>
        <v>1220256.45</v>
      </c>
      <c r="O49" s="7">
        <f>SUM('Mountaineer:Charles Town'!O46)</f>
        <v>2845256.3099999996</v>
      </c>
      <c r="P49" s="7">
        <f>SUM('Mountaineer:Charles Town'!P46)</f>
        <v>421660.13</v>
      </c>
      <c r="Q49" s="7">
        <f>SUM('Mountaineer:Charles Town'!Q46)</f>
        <v>63648.3</v>
      </c>
      <c r="R49" s="7">
        <f>SUM('Mountaineer:Charles Town'!R46)</f>
        <v>58469.45</v>
      </c>
      <c r="S49" s="7">
        <f>SUM('Mountaineer:Charles Town'!S46)</f>
        <v>58469.45</v>
      </c>
      <c r="T49" s="7">
        <f>SUM('Mountaineer:Charles Town'!T46)</f>
        <v>86621.4</v>
      </c>
      <c r="U49" s="7">
        <f>SUM('Mountaineer:Charles Town'!U46)</f>
        <v>86621.38</v>
      </c>
      <c r="V49" s="7">
        <f>SUM('Mountaineer:Charles Town'!V46)</f>
        <v>8009.6362969306329</v>
      </c>
      <c r="W49" s="5">
        <f>SUM('Mountaineer:Charles Town'!W46)</f>
        <v>4324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Mountaineer!A47</f>
        <v>45766</v>
      </c>
      <c r="B50" s="7">
        <f>SUM('Mountaineer:Charles Town'!B47)</f>
        <v>109841260.53</v>
      </c>
      <c r="C50" s="7">
        <f>SUM('Mountaineer:Charles Town'!C47)</f>
        <v>99004582.949999988</v>
      </c>
      <c r="D50" s="7">
        <f>SUM('Mountaineer:Charles Town'!D47)</f>
        <v>1792080.93</v>
      </c>
      <c r="E50" s="7">
        <f>SUM('Mountaineer:Charles Town'!E47)</f>
        <v>9044596.6499999985</v>
      </c>
      <c r="F50" s="7">
        <f>SUM('Mountaineer:Charles Town'!F47)</f>
        <v>158341.92000000001</v>
      </c>
      <c r="G50" s="7">
        <f>SUM('Mountaineer:Charles Town'!G47)</f>
        <v>203441.96</v>
      </c>
      <c r="H50" s="7">
        <f>SUM('Mountaineer:Charles Town'!H47)</f>
        <v>8682812.7699999996</v>
      </c>
      <c r="I50" s="7">
        <f>SUM('Mountaineer:Charles Town'!I47)</f>
        <v>488260.69</v>
      </c>
      <c r="J50" s="7">
        <f>SUM('Mountaineer:Charles Town'!J47)</f>
        <v>303698.15000000002</v>
      </c>
      <c r="K50" s="7">
        <f>SUM('Mountaineer:Charles Town'!K47)</f>
        <v>184562.54</v>
      </c>
      <c r="L50" s="18">
        <f>SUM('Mountaineer:Charles Town'!L47)</f>
        <v>8194552.0799999982</v>
      </c>
      <c r="M50" s="7">
        <f>SUM('Mountaineer:Charles Town'!M47)</f>
        <v>3612721.15</v>
      </c>
      <c r="N50" s="7">
        <f>SUM('Mountaineer:Charles Town'!N47)</f>
        <v>1140061.74</v>
      </c>
      <c r="O50" s="7">
        <f>SUM('Mountaineer:Charles Town'!O47)</f>
        <v>2709668.46</v>
      </c>
      <c r="P50" s="7">
        <f>SUM('Mountaineer:Charles Town'!P47)</f>
        <v>397609.44</v>
      </c>
      <c r="Q50" s="7">
        <f>SUM('Mountaineer:Charles Town'!Q47)</f>
        <v>59973.789999999994</v>
      </c>
      <c r="R50" s="7">
        <f>SUM('Mountaineer:Charles Town'!R47)</f>
        <v>55313.229999999996</v>
      </c>
      <c r="S50" s="7">
        <f>SUM('Mountaineer:Charles Town'!S47)</f>
        <v>55313.229999999996</v>
      </c>
      <c r="T50" s="7">
        <f>SUM('Mountaineer:Charles Town'!T47)</f>
        <v>81945.51999999999</v>
      </c>
      <c r="U50" s="7">
        <f>SUM('Mountaineer:Charles Town'!U47)</f>
        <v>81945.51999999999</v>
      </c>
      <c r="V50" s="7">
        <f>SUM('Mountaineer:Charles Town'!V47)</f>
        <v>7488.8314413053704</v>
      </c>
      <c r="W50" s="5">
        <f>SUM('Mountaineer:Charles Town'!W47)</f>
        <v>4341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Mountaineer!A48</f>
        <v>45773</v>
      </c>
      <c r="B51" s="7">
        <f>SUM('Mountaineer:Charles Town'!B48)</f>
        <v>117502373.49000001</v>
      </c>
      <c r="C51" s="7">
        <f>SUM('Mountaineer:Charles Town'!C48)</f>
        <v>105633411.97</v>
      </c>
      <c r="D51" s="7">
        <f>SUM('Mountaineer:Charles Town'!D48)</f>
        <v>1905783.93</v>
      </c>
      <c r="E51" s="7">
        <f>SUM('Mountaineer:Charles Town'!E48)</f>
        <v>9963177.5900000036</v>
      </c>
      <c r="F51" s="7">
        <f>SUM('Mountaineer:Charles Town'!F48)</f>
        <v>179092.82</v>
      </c>
      <c r="G51" s="7">
        <f>SUM('Mountaineer:Charles Town'!G48)</f>
        <v>219434.29</v>
      </c>
      <c r="H51" s="7">
        <f>SUM('Mountaineer:Charles Town'!H48)</f>
        <v>9564650.4800000042</v>
      </c>
      <c r="I51" s="7">
        <f>SUM('Mountaineer:Charles Town'!I48)</f>
        <v>526642.29</v>
      </c>
      <c r="J51" s="7">
        <f>SUM('Mountaineer:Charles Town'!J48)</f>
        <v>327571.5</v>
      </c>
      <c r="K51" s="7">
        <f>SUM('Mountaineer:Charles Town'!K48)</f>
        <v>199070.79</v>
      </c>
      <c r="L51" s="18">
        <f>SUM('Mountaineer:Charles Town'!L48)</f>
        <v>9038008.1900000032</v>
      </c>
      <c r="M51" s="7">
        <f>SUM('Mountaineer:Charles Town'!M48)</f>
        <v>3989383.6799999997</v>
      </c>
      <c r="N51" s="7">
        <f>SUM('Mountaineer:Charles Town'!N48)</f>
        <v>1289468.26</v>
      </c>
      <c r="O51" s="7">
        <f>SUM('Mountaineer:Charles Town'!O48)</f>
        <v>2948281.39</v>
      </c>
      <c r="P51" s="7">
        <f>SUM('Mountaineer:Charles Town'!P48)</f>
        <v>441420.43000000005</v>
      </c>
      <c r="Q51" s="7">
        <f>SUM('Mountaineer:Charles Town'!Q48)</f>
        <v>66681.170000000013</v>
      </c>
      <c r="R51" s="7">
        <f>SUM('Mountaineer:Charles Town'!R48)</f>
        <v>61006.559999999998</v>
      </c>
      <c r="S51" s="7">
        <f>SUM('Mountaineer:Charles Town'!S48)</f>
        <v>61006.559999999998</v>
      </c>
      <c r="T51" s="7">
        <f>SUM('Mountaineer:Charles Town'!T48)</f>
        <v>90380.06</v>
      </c>
      <c r="U51" s="7">
        <f>SUM('Mountaineer:Charles Town'!U48)</f>
        <v>90380.079999999987</v>
      </c>
      <c r="V51" s="7">
        <f>SUM('Mountaineer:Charles Town'!V48)</f>
        <v>8332.4437977269899</v>
      </c>
      <c r="W51" s="5">
        <f>SUM('Mountaineer:Charles Town'!W48)</f>
        <v>4341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Mountaineer!A49</f>
        <v>45780</v>
      </c>
      <c r="B52" s="7">
        <f>SUM('Mountaineer:Charles Town'!B49)</f>
        <v>116028227.51000001</v>
      </c>
      <c r="C52" s="7">
        <f>SUM('Mountaineer:Charles Town'!C49)</f>
        <v>104765263.15000001</v>
      </c>
      <c r="D52" s="7">
        <f>SUM('Mountaineer:Charles Town'!D49)</f>
        <v>1975017.06</v>
      </c>
      <c r="E52" s="7">
        <f>SUM('Mountaineer:Charles Town'!E49)</f>
        <v>9287947.3000000119</v>
      </c>
      <c r="F52" s="7">
        <f>SUM('Mountaineer:Charles Town'!F49)</f>
        <v>163002.35</v>
      </c>
      <c r="G52" s="7">
        <f>SUM('Mountaineer:Charles Town'!G49)</f>
        <v>208515.55000000002</v>
      </c>
      <c r="H52" s="7">
        <f>SUM('Mountaineer:Charles Town'!H49)</f>
        <v>8916429.4000000097</v>
      </c>
      <c r="I52" s="7">
        <f>SUM('Mountaineer:Charles Town'!I49)</f>
        <v>500437.3</v>
      </c>
      <c r="J52" s="7">
        <f>SUM('Mountaineer:Charles Town'!J49)</f>
        <v>311272</v>
      </c>
      <c r="K52" s="7">
        <f>SUM('Mountaineer:Charles Town'!K49)</f>
        <v>189165.3</v>
      </c>
      <c r="L52" s="18">
        <f>SUM('Mountaineer:Charles Town'!L49)</f>
        <v>8415992.1000000108</v>
      </c>
      <c r="M52" s="7">
        <f>SUM('Mountaineer:Charles Town'!M49)</f>
        <v>3710759.2199999997</v>
      </c>
      <c r="N52" s="7">
        <f>SUM('Mountaineer:Charles Town'!N49)</f>
        <v>1173616.92</v>
      </c>
      <c r="O52" s="7">
        <f>SUM('Mountaineer:Charles Town'!O49)</f>
        <v>2779438.7300000004</v>
      </c>
      <c r="P52" s="7">
        <f>SUM('Mountaineer:Charles Town'!P49)</f>
        <v>408601.24</v>
      </c>
      <c r="Q52" s="7">
        <f>SUM('Mountaineer:Charles Town'!Q49)</f>
        <v>61640.25</v>
      </c>
      <c r="R52" s="7">
        <f>SUM('Mountaineer:Charles Town'!R49)</f>
        <v>56807.94</v>
      </c>
      <c r="S52" s="7">
        <f>SUM('Mountaineer:Charles Town'!S49)</f>
        <v>56807.94</v>
      </c>
      <c r="T52" s="7">
        <f>SUM('Mountaineer:Charles Town'!T49)</f>
        <v>84159.93</v>
      </c>
      <c r="U52" s="7">
        <f>SUM('Mountaineer:Charles Town'!U49)</f>
        <v>84159.93</v>
      </c>
      <c r="V52" s="7">
        <f>SUM('Mountaineer:Charles Town'!V49)</f>
        <v>7758.8023258033299</v>
      </c>
      <c r="W52" s="5">
        <f>SUM('Mountaineer:Charles Town'!W49)</f>
        <v>4335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A53" s="6">
        <f>Mountaineer!A50</f>
        <v>45787</v>
      </c>
      <c r="B53" s="7">
        <f>SUM('Mountaineer:Charles Town'!B50)</f>
        <v>111712557.16</v>
      </c>
      <c r="C53" s="7">
        <f>SUM('Mountaineer:Charles Town'!C50)</f>
        <v>100810080.53</v>
      </c>
      <c r="D53" s="7">
        <f>SUM('Mountaineer:Charles Town'!D50)</f>
        <v>1841785.9000000001</v>
      </c>
      <c r="E53" s="7">
        <f>SUM('Mountaineer:Charles Town'!E50)</f>
        <v>9060690.7300000023</v>
      </c>
      <c r="F53" s="7">
        <f>SUM('Mountaineer:Charles Town'!F50)</f>
        <v>167338.21</v>
      </c>
      <c r="G53" s="7">
        <f>SUM('Mountaineer:Charles Town'!G50)</f>
        <v>195089.43000000002</v>
      </c>
      <c r="H53" s="7">
        <f>SUM('Mountaineer:Charles Town'!H50)</f>
        <v>8698263.0900000017</v>
      </c>
      <c r="I53" s="7">
        <f>SUM('Mountaineer:Charles Town'!I50)</f>
        <v>468214.6</v>
      </c>
      <c r="J53" s="7">
        <f>SUM('Mountaineer:Charles Town'!J50)</f>
        <v>291229.48</v>
      </c>
      <c r="K53" s="7">
        <f>SUM('Mountaineer:Charles Town'!K50)</f>
        <v>176985.12</v>
      </c>
      <c r="L53" s="18">
        <f>SUM('Mountaineer:Charles Town'!L50)</f>
        <v>8230048.4900000021</v>
      </c>
      <c r="M53" s="7">
        <f>SUM('Mountaineer:Charles Town'!M50)</f>
        <v>3637345.63</v>
      </c>
      <c r="N53" s="7">
        <f>SUM('Mountaineer:Charles Town'!N50)</f>
        <v>1204835.1000000001</v>
      </c>
      <c r="O53" s="7">
        <f>SUM('Mountaineer:Charles Town'!O50)</f>
        <v>2646213.3699999996</v>
      </c>
      <c r="P53" s="7">
        <f>SUM('Mountaineer:Charles Town'!P50)</f>
        <v>404716.9</v>
      </c>
      <c r="Q53" s="7">
        <f>SUM('Mountaineer:Charles Town'!Q50)</f>
        <v>61230.83</v>
      </c>
      <c r="R53" s="7">
        <f>SUM('Mountaineer:Charles Town'!R50)</f>
        <v>55552.840000000004</v>
      </c>
      <c r="S53" s="7">
        <f>SUM('Mountaineer:Charles Town'!S50)</f>
        <v>55552.840000000004</v>
      </c>
      <c r="T53" s="7">
        <f>SUM('Mountaineer:Charles Town'!T50)</f>
        <v>82300.490000000005</v>
      </c>
      <c r="U53" s="7">
        <f>SUM('Mountaineer:Charles Town'!U50)</f>
        <v>82300.490000000005</v>
      </c>
      <c r="V53" s="7">
        <f>SUM('Mountaineer:Charles Town'!V50)</f>
        <v>7689.4807038223207</v>
      </c>
      <c r="W53" s="5">
        <f>SUM('Mountaineer:Charles Town'!W50)</f>
        <v>4322</v>
      </c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  <c r="BZ53" s="7"/>
      <c r="CA53" s="7"/>
      <c r="CB53" s="7"/>
      <c r="CC53" s="7"/>
      <c r="CD53" s="7"/>
      <c r="CE53" s="7"/>
      <c r="CF53" s="7"/>
      <c r="CG53" s="7"/>
      <c r="CH53" s="7"/>
      <c r="CI53" s="7"/>
      <c r="CJ53" s="7"/>
      <c r="CK53" s="7"/>
      <c r="CL53" s="7"/>
      <c r="CM53" s="7"/>
      <c r="CN53" s="7"/>
      <c r="CO53" s="7"/>
      <c r="CP53" s="7"/>
      <c r="CQ53" s="7"/>
      <c r="CR53" s="7"/>
    </row>
    <row r="54" spans="1:96" ht="15" customHeight="1" x14ac:dyDescent="0.25">
      <c r="A54" s="6">
        <f>Mountaineer!A51</f>
        <v>45794</v>
      </c>
      <c r="B54" s="7">
        <f>SUM('Mountaineer:Charles Town'!B51)</f>
        <v>116135947.08000001</v>
      </c>
      <c r="C54" s="7">
        <f>SUM('Mountaineer:Charles Town'!C51)</f>
        <v>105083340</v>
      </c>
      <c r="D54" s="7">
        <f>SUM('Mountaineer:Charles Town'!D51)</f>
        <v>1949432.88</v>
      </c>
      <c r="E54" s="7">
        <f>SUM('Mountaineer:Charles Town'!E51)</f>
        <v>9103174.2000000142</v>
      </c>
      <c r="F54" s="7">
        <f>SUM('Mountaineer:Charles Town'!F51)</f>
        <v>167022</v>
      </c>
      <c r="G54" s="7">
        <f>SUM('Mountaineer:Charles Town'!G51)</f>
        <v>197104.97</v>
      </c>
      <c r="H54" s="7">
        <f>SUM('Mountaineer:Charles Town'!H51)</f>
        <v>8739047.2300000135</v>
      </c>
      <c r="I54" s="7">
        <f>SUM('Mountaineer:Charles Town'!I51)</f>
        <v>473051.9</v>
      </c>
      <c r="J54" s="7">
        <f>SUM('Mountaineer:Charles Town'!J51)</f>
        <v>294238.28000000003</v>
      </c>
      <c r="K54" s="7">
        <f>SUM('Mountaineer:Charles Town'!K51)</f>
        <v>178813.62</v>
      </c>
      <c r="L54" s="18">
        <f>SUM('Mountaineer:Charles Town'!L51)</f>
        <v>8265995.3300000131</v>
      </c>
      <c r="M54" s="7">
        <f>SUM('Mountaineer:Charles Town'!M51)</f>
        <v>3652101.81</v>
      </c>
      <c r="N54" s="7">
        <f>SUM('Mountaineer:Charles Town'!N51)</f>
        <v>1202558.48</v>
      </c>
      <c r="O54" s="7">
        <f>SUM('Mountaineer:Charles Town'!O51)</f>
        <v>2667245.4700000002</v>
      </c>
      <c r="P54" s="7">
        <f>SUM('Mountaineer:Charles Town'!P51)</f>
        <v>405806.09</v>
      </c>
      <c r="Q54" s="7">
        <f>SUM('Mountaineer:Charles Town'!Q51)</f>
        <v>61372.619999999995</v>
      </c>
      <c r="R54" s="7">
        <f>SUM('Mountaineer:Charles Town'!R51)</f>
        <v>55795.47</v>
      </c>
      <c r="S54" s="7">
        <f>SUM('Mountaineer:Charles Town'!S51)</f>
        <v>55795.47</v>
      </c>
      <c r="T54" s="7">
        <f>SUM('Mountaineer:Charles Town'!T51)</f>
        <v>82659.97</v>
      </c>
      <c r="U54" s="7">
        <f>SUM('Mountaineer:Charles Town'!U51)</f>
        <v>82659.95</v>
      </c>
      <c r="V54" s="7">
        <f>SUM('Mountaineer:Charles Town'!V51)</f>
        <v>7614.7191881967365</v>
      </c>
      <c r="W54" s="5">
        <f>SUM('Mountaineer:Charles Town'!W51)</f>
        <v>4347</v>
      </c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7"/>
      <c r="AM54" s="7"/>
      <c r="AN54" s="7"/>
      <c r="AO54" s="7"/>
      <c r="AP54" s="7"/>
      <c r="AQ54" s="7"/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  <c r="BZ54" s="7"/>
      <c r="CA54" s="7"/>
      <c r="CB54" s="7"/>
      <c r="CC54" s="7"/>
      <c r="CD54" s="7"/>
      <c r="CE54" s="7"/>
      <c r="CF54" s="7"/>
      <c r="CG54" s="7"/>
      <c r="CH54" s="7"/>
      <c r="CI54" s="7"/>
      <c r="CJ54" s="7"/>
      <c r="CK54" s="7"/>
      <c r="CL54" s="7"/>
      <c r="CM54" s="7"/>
      <c r="CN54" s="7"/>
      <c r="CO54" s="7"/>
      <c r="CP54" s="7"/>
      <c r="CQ54" s="7"/>
      <c r="CR54" s="7"/>
    </row>
    <row r="55" spans="1:96" ht="15" customHeight="1" x14ac:dyDescent="0.25">
      <c r="A55" s="6">
        <f>Mountaineer!A52</f>
        <v>45801</v>
      </c>
      <c r="B55" s="7">
        <f>SUM('Mountaineer:Charles Town'!B52)</f>
        <v>117720345.62</v>
      </c>
      <c r="C55" s="7">
        <f>SUM('Mountaineer:Charles Town'!C52)</f>
        <v>105957403.39</v>
      </c>
      <c r="D55" s="7">
        <f>SUM('Mountaineer:Charles Town'!D52)</f>
        <v>1980273.93</v>
      </c>
      <c r="E55" s="7">
        <f>SUM('Mountaineer:Charles Town'!E52)</f>
        <v>9782668.3000000101</v>
      </c>
      <c r="F55" s="7">
        <f>SUM('Mountaineer:Charles Town'!F52)</f>
        <v>136983.79999999999</v>
      </c>
      <c r="G55" s="7">
        <f>SUM('Mountaineer:Charles Town'!G52)</f>
        <v>254322.93000000002</v>
      </c>
      <c r="H55" s="7">
        <f>SUM('Mountaineer:Charles Town'!H52)</f>
        <v>9391361.5700000096</v>
      </c>
      <c r="I55" s="7">
        <f>SUM('Mountaineer:Charles Town'!I52)</f>
        <v>523455.1</v>
      </c>
      <c r="J55" s="7">
        <f>SUM('Mountaineer:Charles Town'!J52)</f>
        <v>325589.07</v>
      </c>
      <c r="K55" s="7">
        <f>SUM('Mountaineer:Charles Town'!K52)</f>
        <v>197866.03</v>
      </c>
      <c r="L55" s="18">
        <f>SUM('Mountaineer:Charles Town'!L52)</f>
        <v>8867906.47000001</v>
      </c>
      <c r="M55" s="7">
        <f>SUM('Mountaineer:Charles Town'!M52)</f>
        <v>3911577.2</v>
      </c>
      <c r="N55" s="7">
        <f>SUM('Mountaineer:Charles Town'!N52)</f>
        <v>1247043.1400000001</v>
      </c>
      <c r="O55" s="7">
        <f>SUM('Mountaineer:Charles Town'!O52)</f>
        <v>2915609.15</v>
      </c>
      <c r="P55" s="7">
        <f>SUM('Mountaineer:Charles Town'!P52)</f>
        <v>431478.51</v>
      </c>
      <c r="Q55" s="7">
        <f>SUM('Mountaineer:Charles Town'!Q52)</f>
        <v>65123.59</v>
      </c>
      <c r="R55" s="7">
        <f>SUM('Mountaineer:Charles Town'!R52)</f>
        <v>59858.369999999995</v>
      </c>
      <c r="S55" s="7">
        <f>SUM('Mountaineer:Charles Town'!S52)</f>
        <v>59858.369999999995</v>
      </c>
      <c r="T55" s="7">
        <f>SUM('Mountaineer:Charles Town'!T52)</f>
        <v>88679.07</v>
      </c>
      <c r="U55" s="7">
        <f>SUM('Mountaineer:Charles Town'!U52)</f>
        <v>88679.07</v>
      </c>
      <c r="V55" s="7">
        <f>SUM('Mountaineer:Charles Town'!V52)</f>
        <v>8138.8272670460428</v>
      </c>
      <c r="W55" s="5">
        <f>SUM('Mountaineer:Charles Town'!W52)</f>
        <v>4344</v>
      </c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7"/>
      <c r="BZ55" s="7"/>
      <c r="CA55" s="7"/>
      <c r="CB55" s="7"/>
      <c r="CC55" s="7"/>
      <c r="CD55" s="7"/>
      <c r="CE55" s="7"/>
      <c r="CF55" s="7"/>
      <c r="CG55" s="7"/>
      <c r="CH55" s="7"/>
      <c r="CI55" s="7"/>
      <c r="CJ55" s="7"/>
      <c r="CK55" s="7"/>
      <c r="CL55" s="7"/>
      <c r="CM55" s="7"/>
      <c r="CN55" s="7"/>
      <c r="CO55" s="7"/>
      <c r="CP55" s="7"/>
      <c r="CQ55" s="7"/>
      <c r="CR55" s="7"/>
    </row>
    <row r="57" spans="1:96" ht="15" customHeight="1" thickBot="1" x14ac:dyDescent="0.3">
      <c r="B57" s="11">
        <f t="shared" ref="B57:U57" si="0">SUM(B9:B56)</f>
        <v>5122079033.2909994</v>
      </c>
      <c r="C57" s="11">
        <f t="shared" si="0"/>
        <v>4612465545.3500004</v>
      </c>
      <c r="D57" s="11">
        <f t="shared" si="0"/>
        <v>84550116.220000014</v>
      </c>
      <c r="E57" s="11">
        <f t="shared" si="0"/>
        <v>425063371.7209999</v>
      </c>
      <c r="F57" s="11">
        <f t="shared" si="0"/>
        <v>12932290.690000005</v>
      </c>
      <c r="G57" s="11">
        <f t="shared" si="0"/>
        <v>4070244.31</v>
      </c>
      <c r="H57" s="11">
        <f t="shared" si="0"/>
        <v>408060836.72100002</v>
      </c>
      <c r="I57" s="11">
        <f t="shared" si="0"/>
        <v>9280572.1199999992</v>
      </c>
      <c r="J57" s="11">
        <f t="shared" si="0"/>
        <v>5772515.8500000006</v>
      </c>
      <c r="K57" s="11">
        <f t="shared" si="0"/>
        <v>3508056.27</v>
      </c>
      <c r="L57" s="11">
        <f t="shared" si="0"/>
        <v>398780264.60100007</v>
      </c>
      <c r="M57" s="11">
        <f t="shared" si="0"/>
        <v>181674191.40000004</v>
      </c>
      <c r="N57" s="11">
        <f t="shared" si="0"/>
        <v>94576534.949999988</v>
      </c>
      <c r="O57" s="11">
        <f t="shared" si="0"/>
        <v>82732244.760000005</v>
      </c>
      <c r="P57" s="11">
        <f t="shared" si="0"/>
        <v>22867977.679999996</v>
      </c>
      <c r="Q57" s="11">
        <f t="shared" si="0"/>
        <v>3570176.8699999982</v>
      </c>
      <c r="R57" s="11">
        <f t="shared" si="0"/>
        <v>2691766.8499999996</v>
      </c>
      <c r="S57" s="11">
        <f t="shared" si="0"/>
        <v>2691766.8499999996</v>
      </c>
      <c r="T57" s="11">
        <f t="shared" si="0"/>
        <v>5058682.8099999996</v>
      </c>
      <c r="U57" s="11">
        <f t="shared" si="0"/>
        <v>2916922.4300000006</v>
      </c>
      <c r="V57" s="11">
        <f>AVERAGE(V9:V56)</f>
        <v>7536.1780167259449</v>
      </c>
      <c r="W57" s="13">
        <f>AVERAGE(W9:W56)</f>
        <v>4343.510638297872</v>
      </c>
    </row>
    <row r="58" spans="1:96" ht="15" customHeight="1" thickTop="1" x14ac:dyDescent="0.25"/>
    <row r="59" spans="1:96" ht="15" customHeight="1" x14ac:dyDescent="0.25">
      <c r="A59" s="1" t="s">
        <v>34</v>
      </c>
    </row>
    <row r="60" spans="1:96" ht="15" customHeight="1" x14ac:dyDescent="0.25">
      <c r="A60" s="1" t="s">
        <v>4</v>
      </c>
    </row>
  </sheetData>
  <mergeCells count="4">
    <mergeCell ref="A1:AE1"/>
    <mergeCell ref="A2:AE2"/>
    <mergeCell ref="A3:AE3"/>
    <mergeCell ref="A4:AE4"/>
  </mergeCells>
  <pageMargins left="0.25" right="0.25" top="0.5" bottom="0.25" header="0" footer="0"/>
  <pageSetup paperSize="5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CR57"/>
  <sheetViews>
    <sheetView workbookViewId="0">
      <pane ySplit="3" topLeftCell="A26" activePane="bottomLeft" state="frozen"/>
      <selection pane="bottomLeft" activeCell="A53" sqref="A53"/>
    </sheetView>
  </sheetViews>
  <sheetFormatPr defaultRowHeight="15" customHeight="1" x14ac:dyDescent="0.25"/>
  <cols>
    <col min="1" max="1" width="11.7109375" customWidth="1"/>
    <col min="2" max="2" width="18.7109375" customWidth="1"/>
    <col min="3" max="3" width="17.42578125" bestFit="1" customWidth="1"/>
    <col min="4" max="4" width="15.28515625" customWidth="1"/>
    <col min="5" max="5" width="17" customWidth="1"/>
    <col min="6" max="6" width="14.7109375" bestFit="1" customWidth="1"/>
    <col min="7" max="7" width="13.7109375" bestFit="1" customWidth="1"/>
    <col min="8" max="8" width="15.7109375" customWidth="1"/>
    <col min="9" max="9" width="8.5703125" hidden="1" customWidth="1"/>
    <col min="10" max="11" width="13.7109375" bestFit="1" customWidth="1"/>
    <col min="12" max="12" width="16.5703125" customWidth="1"/>
    <col min="13" max="13" width="16.7109375" customWidth="1"/>
    <col min="14" max="14" width="15.7109375" customWidth="1"/>
    <col min="15" max="16" width="14.7109375" bestFit="1" customWidth="1"/>
    <col min="17" max="23" width="13.7109375" customWidth="1"/>
    <col min="24" max="24" width="10.5703125" bestFit="1" customWidth="1"/>
  </cols>
  <sheetData>
    <row r="1" spans="1:96" s="2" customFormat="1" ht="45" customHeight="1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28</v>
      </c>
      <c r="U1" s="2" t="s">
        <v>33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862011448.63</v>
      </c>
      <c r="C2" s="4">
        <v>766275522.81000006</v>
      </c>
      <c r="D2" s="4">
        <v>15748875</v>
      </c>
      <c r="E2" s="4">
        <v>79987050.819999963</v>
      </c>
      <c r="F2" s="4">
        <v>3199482.05</v>
      </c>
      <c r="G2" s="4">
        <v>0</v>
      </c>
      <c r="H2" s="4">
        <v>76787568.769999996</v>
      </c>
      <c r="I2" s="4">
        <v>0</v>
      </c>
      <c r="J2" s="4">
        <v>0</v>
      </c>
      <c r="K2" s="4">
        <v>0</v>
      </c>
      <c r="L2" s="4">
        <v>76787568.769999996</v>
      </c>
      <c r="M2" s="4">
        <v>35706219.470000006</v>
      </c>
      <c r="N2" s="4">
        <v>23036270.70000001</v>
      </c>
      <c r="O2" s="4">
        <v>9867202.5800000001</v>
      </c>
      <c r="P2" s="4">
        <v>4837616.8000000007</v>
      </c>
      <c r="Q2" s="4">
        <v>767875.67999999993</v>
      </c>
      <c r="R2" s="4">
        <v>518316.0900000002</v>
      </c>
      <c r="S2" s="4">
        <v>518316.0900000002</v>
      </c>
      <c r="T2" s="4">
        <v>767875.68000000028</v>
      </c>
      <c r="U2" s="4">
        <v>767875.67999999993</v>
      </c>
      <c r="V2" s="16">
        <v>1433.9945292356444</v>
      </c>
      <c r="W2" s="8">
        <v>1033.351851851852</v>
      </c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">
        <v>37</v>
      </c>
      <c r="B6" s="7">
        <v>16209639.750000002</v>
      </c>
      <c r="C6" s="7">
        <v>14248525.690000001</v>
      </c>
      <c r="D6" s="7">
        <v>339820</v>
      </c>
      <c r="E6" s="7">
        <f t="shared" ref="E6" si="0">B6-C6-D6</f>
        <v>1621294.0600000005</v>
      </c>
      <c r="F6" s="7">
        <f>ROUND(E6*0.04,2)</f>
        <v>64851.76</v>
      </c>
      <c r="G6" s="7">
        <f t="shared" ref="G6" si="1">ROUND(E6*0,2)</f>
        <v>0</v>
      </c>
      <c r="H6" s="7">
        <f t="shared" ref="H6" si="2">E6-F6-G6</f>
        <v>1556442.3000000005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1556442.3000000005</v>
      </c>
      <c r="M6" s="7">
        <f t="shared" ref="M6" si="7">ROUND(L6*0.465,2)</f>
        <v>723745.67</v>
      </c>
      <c r="N6" s="7">
        <f>ROUND(L6*0.3,2)</f>
        <v>466932.69</v>
      </c>
      <c r="O6" s="7">
        <f t="shared" ref="O6" si="8">ROUND(L6*0.1285,2)</f>
        <v>200002.84</v>
      </c>
      <c r="P6" s="7">
        <f t="shared" ref="P6" si="9">ROUND((L6*0.07)*0.9,2)</f>
        <v>98055.86</v>
      </c>
      <c r="Q6" s="7">
        <f t="shared" ref="Q6" si="10">ROUND(L6*0.01,2)</f>
        <v>15564.42</v>
      </c>
      <c r="R6" s="7">
        <f t="shared" ref="R6" si="11">ROUND((L6*0.0075)*0.9,2)</f>
        <v>10505.99</v>
      </c>
      <c r="S6" s="7">
        <f t="shared" ref="S6" si="12">ROUND((L6*0.0075)*0.9,2)</f>
        <v>10505.99</v>
      </c>
      <c r="T6" s="7">
        <f>ROUND(L6*0.01,2)</f>
        <v>15564.42</v>
      </c>
      <c r="U6" s="7">
        <f>ROUND(L6*0.01,2)</f>
        <v>15564.42</v>
      </c>
      <c r="V6" s="16">
        <f t="shared" ref="V6" si="13">E6/W6</f>
        <v>1566.4676908212566</v>
      </c>
      <c r="W6" s="8">
        <v>1035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v>45486</v>
      </c>
      <c r="B7" s="7">
        <v>16003809.359999999</v>
      </c>
      <c r="C7" s="7">
        <v>14163367.75</v>
      </c>
      <c r="D7" s="7">
        <v>288364</v>
      </c>
      <c r="E7" s="7">
        <f t="shared" ref="E7" si="14">B7-C7-D7</f>
        <v>1552077.6099999994</v>
      </c>
      <c r="F7" s="7">
        <f>ROUND(E7*0.04,2)+0.01</f>
        <v>62083.11</v>
      </c>
      <c r="G7" s="7">
        <f t="shared" ref="G7" si="15">ROUND(E7*0,2)</f>
        <v>0</v>
      </c>
      <c r="H7" s="7">
        <f t="shared" ref="H7" si="16">E7-F7-G7</f>
        <v>1489994.4999999993</v>
      </c>
      <c r="I7" s="7">
        <f t="shared" ref="I7" si="17">ROUND(H7*0,2)</f>
        <v>0</v>
      </c>
      <c r="J7" s="7">
        <f t="shared" ref="J7" si="18">ROUND((I7*0.58)+((I7*0.42)*0.1),2)</f>
        <v>0</v>
      </c>
      <c r="K7" s="7">
        <f t="shared" ref="K7" si="19">ROUND((I7*0.42)*0.9,2)</f>
        <v>0</v>
      </c>
      <c r="L7" s="18">
        <f t="shared" ref="L7" si="20">IF(J7+K7=I7,H7-I7,"ERROR")</f>
        <v>1489994.4999999993</v>
      </c>
      <c r="M7" s="7">
        <f t="shared" ref="M7" si="21">ROUND(L7*0.465,2)</f>
        <v>692847.44</v>
      </c>
      <c r="N7" s="7">
        <f>ROUND(L7*0.3,2)</f>
        <v>446998.35</v>
      </c>
      <c r="O7" s="7">
        <f t="shared" ref="O7" si="22">ROUND(L7*0.1285,2)</f>
        <v>191464.29</v>
      </c>
      <c r="P7" s="7">
        <f t="shared" ref="P7" si="23">ROUND((L7*0.07)*0.9,2)</f>
        <v>93869.65</v>
      </c>
      <c r="Q7" s="7">
        <f t="shared" ref="Q7" si="24">ROUND(L7*0.01,2)</f>
        <v>14899.95</v>
      </c>
      <c r="R7" s="7">
        <f t="shared" ref="R7" si="25">ROUND((L7*0.0075)*0.9,2)</f>
        <v>10057.459999999999</v>
      </c>
      <c r="S7" s="7">
        <f t="shared" ref="S7" si="26">ROUND((L7*0.0075)*0.9,2)</f>
        <v>10057.459999999999</v>
      </c>
      <c r="T7" s="7">
        <f>ROUND(L7*0.01,2)-0.01</f>
        <v>14899.94</v>
      </c>
      <c r="U7" s="7">
        <f>ROUND(L7*0.01,2)+0.01</f>
        <v>14899.960000000001</v>
      </c>
      <c r="V7" s="16">
        <f t="shared" ref="V7" si="27">E7/W7</f>
        <v>1499.5918937198062</v>
      </c>
      <c r="W7" s="8">
        <v>1035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 t="shared" ref="A8:A52" si="28">A7+7</f>
        <v>45493</v>
      </c>
      <c r="B8" s="7">
        <v>17977790.700000003</v>
      </c>
      <c r="C8" s="7">
        <v>15985757.059999999</v>
      </c>
      <c r="D8" s="7">
        <v>347638</v>
      </c>
      <c r="E8" s="7">
        <f t="shared" ref="E8" si="29">B8-C8-D8</f>
        <v>1644395.6400000043</v>
      </c>
      <c r="F8" s="7">
        <f>ROUND(E8*0.04,2)-0.01</f>
        <v>65775.820000000007</v>
      </c>
      <c r="G8" s="7">
        <f t="shared" ref="G8" si="30">ROUND(E8*0,2)</f>
        <v>0</v>
      </c>
      <c r="H8" s="7">
        <f t="shared" ref="H8" si="31">E8-F8-G8</f>
        <v>1578619.8200000043</v>
      </c>
      <c r="I8" s="7">
        <f t="shared" ref="I8" si="32">ROUND(H8*0,2)</f>
        <v>0</v>
      </c>
      <c r="J8" s="7">
        <f t="shared" ref="J8" si="33">ROUND((I8*0.58)+((I8*0.42)*0.1),2)</f>
        <v>0</v>
      </c>
      <c r="K8" s="7">
        <f t="shared" ref="K8" si="34">ROUND((I8*0.42)*0.9,2)</f>
        <v>0</v>
      </c>
      <c r="L8" s="18">
        <f t="shared" ref="L8" si="35">IF(J8+K8=I8,H8-I8,"ERROR")</f>
        <v>1578619.8200000043</v>
      </c>
      <c r="M8" s="7">
        <f t="shared" ref="M8" si="36">ROUND(L8*0.465,2)</f>
        <v>734058.22</v>
      </c>
      <c r="N8" s="7">
        <f>ROUND(L8*0.3,2)-0.01</f>
        <v>473585.94</v>
      </c>
      <c r="O8" s="7">
        <f t="shared" ref="O8" si="37">ROUND(L8*0.1285,2)</f>
        <v>202852.65</v>
      </c>
      <c r="P8" s="7">
        <f t="shared" ref="P8" si="38">ROUND((L8*0.07)*0.9,2)</f>
        <v>99453.05</v>
      </c>
      <c r="Q8" s="7">
        <f t="shared" ref="Q8" si="39">ROUND(L8*0.01,2)</f>
        <v>15786.2</v>
      </c>
      <c r="R8" s="7">
        <f t="shared" ref="R8" si="40">ROUND((L8*0.0075)*0.9,2)</f>
        <v>10655.68</v>
      </c>
      <c r="S8" s="7">
        <f t="shared" ref="S8" si="41">ROUND((L8*0.0075)*0.9,2)</f>
        <v>10655.68</v>
      </c>
      <c r="T8" s="7">
        <f>ROUND(L8*0.01,2)</f>
        <v>15786.2</v>
      </c>
      <c r="U8" s="7">
        <f>ROUND(L8*0.01,2)</f>
        <v>15786.2</v>
      </c>
      <c r="V8" s="16">
        <f t="shared" ref="V8" si="42">E8/W8</f>
        <v>1593.4066279069809</v>
      </c>
      <c r="W8" s="8">
        <v>1032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 t="shared" si="28"/>
        <v>45500</v>
      </c>
      <c r="B9" s="7">
        <v>15831255.01</v>
      </c>
      <c r="C9" s="7">
        <v>13960712.039999999</v>
      </c>
      <c r="D9" s="7">
        <v>287854</v>
      </c>
      <c r="E9" s="7">
        <f t="shared" ref="E9" si="43">B9-C9-D9</f>
        <v>1582688.9700000007</v>
      </c>
      <c r="F9" s="7">
        <f>ROUND(E9*0.04,2)</f>
        <v>63307.56</v>
      </c>
      <c r="G9" s="7">
        <f t="shared" ref="G9" si="44">ROUND(E9*0,2)</f>
        <v>0</v>
      </c>
      <c r="H9" s="7">
        <f t="shared" ref="H9" si="45">E9-F9-G9</f>
        <v>1519381.4100000006</v>
      </c>
      <c r="I9" s="7">
        <f t="shared" ref="I9" si="46">ROUND(H9*0,2)</f>
        <v>0</v>
      </c>
      <c r="J9" s="7">
        <f t="shared" ref="J9" si="47">ROUND((I9*0.58)+((I9*0.42)*0.1),2)</f>
        <v>0</v>
      </c>
      <c r="K9" s="7">
        <f t="shared" ref="K9" si="48">ROUND((I9*0.42)*0.9,2)</f>
        <v>0</v>
      </c>
      <c r="L9" s="18">
        <f t="shared" ref="L9" si="49">IF(J9+K9=I9,H9-I9,"ERROR")</f>
        <v>1519381.4100000006</v>
      </c>
      <c r="M9" s="7">
        <f t="shared" ref="M9" si="50">ROUND(L9*0.465,2)</f>
        <v>706512.36</v>
      </c>
      <c r="N9" s="7">
        <f>ROUND(L9*0.3,2)+0.02</f>
        <v>455814.44</v>
      </c>
      <c r="O9" s="7">
        <f t="shared" ref="O9" si="51">ROUND(L9*0.1285,2)</f>
        <v>195240.51</v>
      </c>
      <c r="P9" s="7">
        <f t="shared" ref="P9" si="52">ROUND((L9*0.07)*0.9,2)</f>
        <v>95721.03</v>
      </c>
      <c r="Q9" s="7">
        <f t="shared" ref="Q9" si="53">ROUND(L9*0.01,2)</f>
        <v>15193.81</v>
      </c>
      <c r="R9" s="7">
        <f t="shared" ref="R9" si="54">ROUND((L9*0.0075)*0.9,2)</f>
        <v>10255.82</v>
      </c>
      <c r="S9" s="7">
        <f t="shared" ref="S9" si="55">ROUND((L9*0.0075)*0.9,2)</f>
        <v>10255.82</v>
      </c>
      <c r="T9" s="7">
        <f>ROUND(L9*0.01,2)+0.01</f>
        <v>15193.82</v>
      </c>
      <c r="U9" s="7">
        <f>ROUND(L9*0.01,2)-0.01</f>
        <v>15193.8</v>
      </c>
      <c r="V9" s="16">
        <f t="shared" ref="V9" si="56">E9/W9</f>
        <v>1533.6133430232564</v>
      </c>
      <c r="W9" s="8">
        <v>1032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 t="shared" si="28"/>
        <v>45507</v>
      </c>
      <c r="B10" s="7">
        <v>17685888.060000002</v>
      </c>
      <c r="C10" s="7">
        <v>15858701.52</v>
      </c>
      <c r="D10" s="7">
        <v>331747</v>
      </c>
      <c r="E10" s="7">
        <f t="shared" ref="E10" si="57">B10-C10-D10</f>
        <v>1495439.5400000028</v>
      </c>
      <c r="F10" s="7">
        <f>ROUND(E10*0.04,2)</f>
        <v>59817.58</v>
      </c>
      <c r="G10" s="7">
        <f t="shared" ref="G10" si="58">ROUND(E10*0,2)</f>
        <v>0</v>
      </c>
      <c r="H10" s="7">
        <f t="shared" ref="H10" si="59">E10-F10-G10</f>
        <v>1435621.9600000028</v>
      </c>
      <c r="I10" s="7">
        <f t="shared" ref="I10" si="60">ROUND(H10*0,2)</f>
        <v>0</v>
      </c>
      <c r="J10" s="7">
        <f t="shared" ref="J10" si="61">ROUND((I10*0.58)+((I10*0.42)*0.1),2)</f>
        <v>0</v>
      </c>
      <c r="K10" s="7">
        <f t="shared" ref="K10" si="62">ROUND((I10*0.42)*0.9,2)</f>
        <v>0</v>
      </c>
      <c r="L10" s="18">
        <f t="shared" ref="L10" si="63">IF(J10+K10=I10,H10-I10,"ERROR")</f>
        <v>1435621.9600000028</v>
      </c>
      <c r="M10" s="7">
        <f t="shared" ref="M10" si="64">ROUND(L10*0.465,2)</f>
        <v>667564.21</v>
      </c>
      <c r="N10" s="7">
        <f>ROUND(L10*0.3,2)</f>
        <v>430686.59</v>
      </c>
      <c r="O10" s="7">
        <f t="shared" ref="O10" si="65">ROUND(L10*0.1285,2)</f>
        <v>184477.42</v>
      </c>
      <c r="P10" s="7">
        <f t="shared" ref="P10" si="66">ROUND((L10*0.07)*0.9,2)</f>
        <v>90444.18</v>
      </c>
      <c r="Q10" s="7">
        <f t="shared" ref="Q10" si="67">ROUND(L10*0.01,2)</f>
        <v>14356.22</v>
      </c>
      <c r="R10" s="7">
        <f t="shared" ref="R10" si="68">ROUND((L10*0.0075)*0.9,2)</f>
        <v>9690.4500000000007</v>
      </c>
      <c r="S10" s="7">
        <f t="shared" ref="S10" si="69">ROUND((L10*0.0075)*0.9,2)</f>
        <v>9690.4500000000007</v>
      </c>
      <c r="T10" s="7">
        <f>ROUND(L10*0.01,2)</f>
        <v>14356.22</v>
      </c>
      <c r="U10" s="7">
        <f>ROUND(L10*0.01,2)</f>
        <v>14356.22</v>
      </c>
      <c r="V10" s="16">
        <f t="shared" ref="V10" si="70">E10/W10</f>
        <v>1447.6665440464694</v>
      </c>
      <c r="W10" s="8">
        <v>1033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 t="shared" si="28"/>
        <v>45514</v>
      </c>
      <c r="B11" s="7">
        <v>15886762.42</v>
      </c>
      <c r="C11" s="7">
        <v>14004153.84</v>
      </c>
      <c r="D11" s="7">
        <v>317649</v>
      </c>
      <c r="E11" s="7">
        <f t="shared" ref="E11" si="71">B11-C11-D11</f>
        <v>1564959.58</v>
      </c>
      <c r="F11" s="7">
        <f>ROUND(E11*0.04,2)</f>
        <v>62598.38</v>
      </c>
      <c r="G11" s="7">
        <f t="shared" ref="G11" si="72">ROUND(E11*0,2)</f>
        <v>0</v>
      </c>
      <c r="H11" s="7">
        <f t="shared" ref="H11" si="73">E11-F11-G11</f>
        <v>1502361.2000000002</v>
      </c>
      <c r="I11" s="7">
        <f t="shared" ref="I11" si="74">ROUND(H11*0,2)</f>
        <v>0</v>
      </c>
      <c r="J11" s="7">
        <f t="shared" ref="J11" si="75">ROUND((I11*0.58)+((I11*0.42)*0.1),2)</f>
        <v>0</v>
      </c>
      <c r="K11" s="7">
        <f t="shared" ref="K11" si="76">ROUND((I11*0.42)*0.9,2)</f>
        <v>0</v>
      </c>
      <c r="L11" s="18">
        <f t="shared" ref="L11" si="77">IF(J11+K11=I11,H11-I11,"ERROR")</f>
        <v>1502361.2000000002</v>
      </c>
      <c r="M11" s="7">
        <f t="shared" ref="M11" si="78">ROUND(L11*0.465,2)</f>
        <v>698597.96</v>
      </c>
      <c r="N11" s="7">
        <f>ROUND(L11*0.3,2)</f>
        <v>450708.36</v>
      </c>
      <c r="O11" s="7">
        <f t="shared" ref="O11" si="79">ROUND(L11*0.1285,2)</f>
        <v>193053.41</v>
      </c>
      <c r="P11" s="7">
        <f t="shared" ref="P11" si="80">ROUND((L11*0.07)*0.9,2)</f>
        <v>94648.76</v>
      </c>
      <c r="Q11" s="7">
        <f t="shared" ref="Q11" si="81">ROUND(L11*0.01,2)</f>
        <v>15023.61</v>
      </c>
      <c r="R11" s="7">
        <f t="shared" ref="R11" si="82">ROUND((L11*0.0075)*0.9,2)</f>
        <v>10140.94</v>
      </c>
      <c r="S11" s="7">
        <f t="shared" ref="S11" si="83">ROUND((L11*0.0075)*0.9,2)</f>
        <v>10140.94</v>
      </c>
      <c r="T11" s="7">
        <f>ROUND(L11*0.01,2)-0.01</f>
        <v>15023.6</v>
      </c>
      <c r="U11" s="7">
        <f>ROUND(L11*0.01,2)+0.01</f>
        <v>15023.62</v>
      </c>
      <c r="V11" s="16">
        <f t="shared" ref="V11" si="84">E11/W11</f>
        <v>1514.9657115198452</v>
      </c>
      <c r="W11" s="8">
        <v>1033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 t="shared" si="28"/>
        <v>45521</v>
      </c>
      <c r="B12" s="7">
        <v>15881507.339999998</v>
      </c>
      <c r="C12" s="7">
        <v>14067337.879999999</v>
      </c>
      <c r="D12" s="7">
        <v>305209</v>
      </c>
      <c r="E12" s="7">
        <f t="shared" ref="E12" si="85">B12-C12-D12</f>
        <v>1508960.459999999</v>
      </c>
      <c r="F12" s="7">
        <f>ROUND(E12*0.04,2)</f>
        <v>60358.42</v>
      </c>
      <c r="G12" s="7">
        <f t="shared" ref="G12" si="86">ROUND(E12*0,2)</f>
        <v>0</v>
      </c>
      <c r="H12" s="7">
        <f t="shared" ref="H12" si="87">E12-F12-G12</f>
        <v>1448602.0399999991</v>
      </c>
      <c r="I12" s="7">
        <f t="shared" ref="I12" si="88">ROUND(H12*0,2)</f>
        <v>0</v>
      </c>
      <c r="J12" s="7">
        <f t="shared" ref="J12" si="89">ROUND((I12*0.58)+((I12*0.42)*0.1),2)</f>
        <v>0</v>
      </c>
      <c r="K12" s="7">
        <f t="shared" ref="K12" si="90">ROUND((I12*0.42)*0.9,2)</f>
        <v>0</v>
      </c>
      <c r="L12" s="18">
        <f t="shared" ref="L12" si="91">IF(J12+K12=I12,H12-I12,"ERROR")</f>
        <v>1448602.0399999991</v>
      </c>
      <c r="M12" s="7">
        <f t="shared" ref="M12" si="92">ROUND(L12*0.465,2)</f>
        <v>673599.95</v>
      </c>
      <c r="N12" s="7">
        <f>ROUND(L12*0.3,2)+0.01</f>
        <v>434580.62</v>
      </c>
      <c r="O12" s="7">
        <f t="shared" ref="O12" si="93">ROUND(L12*0.1285,2)</f>
        <v>186145.36</v>
      </c>
      <c r="P12" s="7">
        <f t="shared" ref="P12" si="94">ROUND((L12*0.07)*0.9,2)</f>
        <v>91261.93</v>
      </c>
      <c r="Q12" s="7">
        <f t="shared" ref="Q12" si="95">ROUND(L12*0.01,2)</f>
        <v>14486.02</v>
      </c>
      <c r="R12" s="7">
        <f t="shared" ref="R12" si="96">ROUND((L12*0.0075)*0.9,2)</f>
        <v>9778.06</v>
      </c>
      <c r="S12" s="7">
        <f t="shared" ref="S12" si="97">ROUND((L12*0.0075)*0.9,2)</f>
        <v>9778.06</v>
      </c>
      <c r="T12" s="7">
        <f>ROUND(L12*0.01,2)</f>
        <v>14486.02</v>
      </c>
      <c r="U12" s="7">
        <f>ROUND(L12*0.01,2)</f>
        <v>14486.02</v>
      </c>
      <c r="V12" s="16">
        <f t="shared" ref="V12" si="98">E12/W12</f>
        <v>1460.755527589544</v>
      </c>
      <c r="W12" s="8">
        <v>1033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 t="shared" si="28"/>
        <v>45528</v>
      </c>
      <c r="B13" s="7">
        <v>15885278.810000001</v>
      </c>
      <c r="C13" s="7">
        <v>14128472.48</v>
      </c>
      <c r="D13" s="7">
        <v>302382</v>
      </c>
      <c r="E13" s="7">
        <f t="shared" ref="E13" si="99">B13-C13-D13</f>
        <v>1454424.33</v>
      </c>
      <c r="F13" s="7">
        <f>ROUND(E13*0.04,2)</f>
        <v>58176.97</v>
      </c>
      <c r="G13" s="7">
        <f t="shared" ref="G13" si="100">ROUND(E13*0,2)</f>
        <v>0</v>
      </c>
      <c r="H13" s="7">
        <f t="shared" ref="H13" si="101">E13-F13-G13</f>
        <v>1396247.36</v>
      </c>
      <c r="I13" s="7">
        <f t="shared" ref="I13" si="102">ROUND(H13*0,2)</f>
        <v>0</v>
      </c>
      <c r="J13" s="7">
        <f t="shared" ref="J13" si="103">ROUND((I13*0.58)+((I13*0.42)*0.1),2)</f>
        <v>0</v>
      </c>
      <c r="K13" s="7">
        <f t="shared" ref="K13" si="104">ROUND((I13*0.42)*0.9,2)</f>
        <v>0</v>
      </c>
      <c r="L13" s="18">
        <f t="shared" ref="L13" si="105">IF(J13+K13=I13,H13-I13,"ERROR")</f>
        <v>1396247.36</v>
      </c>
      <c r="M13" s="7">
        <f t="shared" ref="M13" si="106">ROUND(L13*0.465,2)</f>
        <v>649255.02</v>
      </c>
      <c r="N13" s="7">
        <f>ROUND(L13*0.3,2)+0.01</f>
        <v>418874.22000000003</v>
      </c>
      <c r="O13" s="7">
        <f t="shared" ref="O13" si="107">ROUND(L13*0.1285,2)</f>
        <v>179417.79</v>
      </c>
      <c r="P13" s="7">
        <f t="shared" ref="P13" si="108">ROUND((L13*0.07)*0.9,2)</f>
        <v>87963.58</v>
      </c>
      <c r="Q13" s="7">
        <f t="shared" ref="Q13" si="109">ROUND(L13*0.01,2)</f>
        <v>13962.47</v>
      </c>
      <c r="R13" s="7">
        <f t="shared" ref="R13" si="110">ROUND((L13*0.0075)*0.9,2)</f>
        <v>9424.67</v>
      </c>
      <c r="S13" s="7">
        <f t="shared" ref="S13" si="111">ROUND((L13*0.0075)*0.9,2)</f>
        <v>9424.67</v>
      </c>
      <c r="T13" s="7">
        <f>ROUND(L13*0.01,2)+0.01</f>
        <v>13962.48</v>
      </c>
      <c r="U13" s="7">
        <f>ROUND(L13*0.01,2)-0.01</f>
        <v>13962.46</v>
      </c>
      <c r="V13" s="16">
        <f t="shared" ref="V13" si="112">E13/W13</f>
        <v>1409.3259011627908</v>
      </c>
      <c r="W13" s="8">
        <v>1032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 t="shared" si="28"/>
        <v>45535</v>
      </c>
      <c r="B14" s="7">
        <v>16944073.600000001</v>
      </c>
      <c r="C14" s="7">
        <v>15055307.09</v>
      </c>
      <c r="D14" s="7">
        <v>312004</v>
      </c>
      <c r="E14" s="7">
        <f t="shared" ref="E14" si="113">B14-C14-D14</f>
        <v>1576762.5100000016</v>
      </c>
      <c r="F14" s="7">
        <f>ROUND(E14*0.04,2)-0.01</f>
        <v>63070.49</v>
      </c>
      <c r="G14" s="7">
        <f t="shared" ref="G14" si="114">ROUND(E14*0,2)</f>
        <v>0</v>
      </c>
      <c r="H14" s="7">
        <f t="shared" ref="H14" si="115">E14-F14-G14</f>
        <v>1513692.0200000016</v>
      </c>
      <c r="I14" s="7">
        <f t="shared" ref="I14" si="116">ROUND(H14*0,2)</f>
        <v>0</v>
      </c>
      <c r="J14" s="7">
        <f t="shared" ref="J14" si="117">ROUND((I14*0.58)+((I14*0.42)*0.1),2)</f>
        <v>0</v>
      </c>
      <c r="K14" s="7">
        <f t="shared" ref="K14" si="118">ROUND((I14*0.42)*0.9,2)</f>
        <v>0</v>
      </c>
      <c r="L14" s="18">
        <f t="shared" ref="L14" si="119">IF(J14+K14=I14,H14-I14,"ERROR")</f>
        <v>1513692.0200000016</v>
      </c>
      <c r="M14" s="7">
        <f t="shared" ref="M14" si="120">ROUND(L14*0.465,2)</f>
        <v>703866.79</v>
      </c>
      <c r="N14" s="7">
        <f>ROUND(L14*0.3,2)</f>
        <v>454107.61</v>
      </c>
      <c r="O14" s="7">
        <f t="shared" ref="O14" si="121">ROUND(L14*0.1285,2)</f>
        <v>194509.42</v>
      </c>
      <c r="P14" s="7">
        <f t="shared" ref="P14" si="122">ROUND((L14*0.07)*0.9,2)</f>
        <v>95362.6</v>
      </c>
      <c r="Q14" s="7">
        <f t="shared" ref="Q14" si="123">ROUND(L14*0.01,2)</f>
        <v>15136.92</v>
      </c>
      <c r="R14" s="7">
        <f t="shared" ref="R14" si="124">ROUND((L14*0.0075)*0.9,2)</f>
        <v>10217.42</v>
      </c>
      <c r="S14" s="7">
        <f t="shared" ref="S14" si="125">ROUND((L14*0.0075)*0.9,2)</f>
        <v>10217.42</v>
      </c>
      <c r="T14" s="7">
        <f>ROUND(L14*0.01,2)</f>
        <v>15136.92</v>
      </c>
      <c r="U14" s="7">
        <f>ROUND(L14*0.01,2)</f>
        <v>15136.92</v>
      </c>
      <c r="V14" s="16">
        <f t="shared" ref="V14" si="126">E14/W14</f>
        <v>1524.9153868471969</v>
      </c>
      <c r="W14" s="8">
        <v>1034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 t="shared" si="28"/>
        <v>45542</v>
      </c>
      <c r="B15" s="7">
        <v>18538174.93</v>
      </c>
      <c r="C15" s="7">
        <v>16494508.800000001</v>
      </c>
      <c r="D15" s="7">
        <v>402362</v>
      </c>
      <c r="E15" s="7">
        <f t="shared" ref="E15" si="127">B15-C15-D15</f>
        <v>1641304.129999999</v>
      </c>
      <c r="F15" s="7">
        <f>ROUND(E15*0.04,2)+0.01</f>
        <v>65652.179999999993</v>
      </c>
      <c r="G15" s="7">
        <f t="shared" ref="G15" si="128">ROUND(E15*0,2)</f>
        <v>0</v>
      </c>
      <c r="H15" s="7">
        <f t="shared" ref="H15" si="129">E15-F15-G15</f>
        <v>1575651.949999999</v>
      </c>
      <c r="I15" s="7">
        <f t="shared" ref="I15" si="130">ROUND(H15*0,2)</f>
        <v>0</v>
      </c>
      <c r="J15" s="7">
        <f t="shared" ref="J15" si="131">ROUND((I15*0.58)+((I15*0.42)*0.1),2)</f>
        <v>0</v>
      </c>
      <c r="K15" s="7">
        <f t="shared" ref="K15" si="132">ROUND((I15*0.42)*0.9,2)</f>
        <v>0</v>
      </c>
      <c r="L15" s="18">
        <f t="shared" ref="L15" si="133">IF(J15+K15=I15,H15-I15,"ERROR")</f>
        <v>1575651.949999999</v>
      </c>
      <c r="M15" s="7">
        <f t="shared" ref="M15" si="134">ROUND(L15*0.465,2)</f>
        <v>732678.16</v>
      </c>
      <c r="N15" s="7">
        <f>ROUND(L15*0.3,2)-0.01</f>
        <v>472695.58</v>
      </c>
      <c r="O15" s="7">
        <f t="shared" ref="O15" si="135">ROUND(L15*0.1285,2)</f>
        <v>202471.28</v>
      </c>
      <c r="P15" s="7">
        <f t="shared" ref="P15" si="136">ROUND((L15*0.07)*0.9,2)</f>
        <v>99266.07</v>
      </c>
      <c r="Q15" s="7">
        <f t="shared" ref="Q15" si="137">ROUND(L15*0.01,2)</f>
        <v>15756.52</v>
      </c>
      <c r="R15" s="7">
        <f t="shared" ref="R15" si="138">ROUND((L15*0.0075)*0.9,2)</f>
        <v>10635.65</v>
      </c>
      <c r="S15" s="7">
        <f t="shared" ref="S15" si="139">ROUND((L15*0.0075)*0.9,2)</f>
        <v>10635.65</v>
      </c>
      <c r="T15" s="7">
        <f>ROUND(L15*0.01,2)</f>
        <v>15756.52</v>
      </c>
      <c r="U15" s="7">
        <f>ROUND(L15*0.01,2)</f>
        <v>15756.52</v>
      </c>
      <c r="V15" s="16">
        <f t="shared" ref="V15" si="140">E15/W15</f>
        <v>1601.2723219512186</v>
      </c>
      <c r="W15" s="8">
        <v>1025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 t="shared" si="28"/>
        <v>45549</v>
      </c>
      <c r="B16" s="7">
        <v>14919236.169999998</v>
      </c>
      <c r="C16" s="7">
        <v>13188587.359999999</v>
      </c>
      <c r="D16" s="7">
        <v>307175</v>
      </c>
      <c r="E16" s="7">
        <f t="shared" ref="E16" si="141">B16-C16-D16</f>
        <v>1423473.8099999987</v>
      </c>
      <c r="F16" s="7">
        <f>ROUND(E16*0.04,2)-0.01</f>
        <v>56938.939999999995</v>
      </c>
      <c r="G16" s="7">
        <f t="shared" ref="G16" si="142">ROUND(E16*0,2)</f>
        <v>0</v>
      </c>
      <c r="H16" s="7">
        <f t="shared" ref="H16" si="143">E16-F16-G16</f>
        <v>1366534.8699999987</v>
      </c>
      <c r="I16" s="7">
        <f t="shared" ref="I16" si="144">ROUND(H16*0,2)</f>
        <v>0</v>
      </c>
      <c r="J16" s="7">
        <f t="shared" ref="J16" si="145">ROUND((I16*0.58)+((I16*0.42)*0.1),2)</f>
        <v>0</v>
      </c>
      <c r="K16" s="7">
        <f t="shared" ref="K16" si="146">ROUND((I16*0.42)*0.9,2)</f>
        <v>0</v>
      </c>
      <c r="L16" s="18">
        <f t="shared" ref="L16" si="147">IF(J16+K16=I16,H16-I16,"ERROR")</f>
        <v>1366534.8699999987</v>
      </c>
      <c r="M16" s="7">
        <f t="shared" ref="M16" si="148">ROUND(L16*0.465,2)</f>
        <v>635438.71</v>
      </c>
      <c r="N16" s="7">
        <f>ROUND(L16*0.3,2)</f>
        <v>409960.46</v>
      </c>
      <c r="O16" s="7">
        <f t="shared" ref="O16" si="149">ROUND(L16*0.1285,2)</f>
        <v>175599.73</v>
      </c>
      <c r="P16" s="7">
        <f t="shared" ref="P16" si="150">ROUND((L16*0.07)*0.9,2)</f>
        <v>86091.7</v>
      </c>
      <c r="Q16" s="7">
        <f t="shared" ref="Q16" si="151">ROUND(L16*0.01,2)</f>
        <v>13665.35</v>
      </c>
      <c r="R16" s="7">
        <f t="shared" ref="R16" si="152">ROUND((L16*0.0075)*0.9,2)</f>
        <v>9224.11</v>
      </c>
      <c r="S16" s="7">
        <f t="shared" ref="S16" si="153">ROUND((L16*0.0075)*0.9,2)</f>
        <v>9224.11</v>
      </c>
      <c r="T16" s="7">
        <f>ROUND(L16*0.01,2)-0.01</f>
        <v>13665.34</v>
      </c>
      <c r="U16" s="7">
        <f>ROUND(L16*0.01,2)+0.01</f>
        <v>13665.36</v>
      </c>
      <c r="V16" s="16">
        <f t="shared" ref="V16" si="154">E16/W16</f>
        <v>1396.932100098134</v>
      </c>
      <c r="W16" s="8">
        <v>1019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 t="shared" si="28"/>
        <v>45556</v>
      </c>
      <c r="B17" s="7">
        <v>16320472.75</v>
      </c>
      <c r="C17" s="7">
        <v>14506560.859999999</v>
      </c>
      <c r="D17" s="7">
        <v>299199</v>
      </c>
      <c r="E17" s="7">
        <f t="shared" ref="E17" si="155">B17-C17-D17</f>
        <v>1514712.8900000006</v>
      </c>
      <c r="F17" s="7">
        <f>ROUND(E17*0.04,2)</f>
        <v>60588.52</v>
      </c>
      <c r="G17" s="7">
        <f t="shared" ref="G17" si="156">ROUND(E17*0,2)</f>
        <v>0</v>
      </c>
      <c r="H17" s="7">
        <f t="shared" ref="H17" si="157">E17-F17-G17</f>
        <v>1454124.3700000006</v>
      </c>
      <c r="I17" s="7">
        <f t="shared" ref="I17" si="158">ROUND(H17*0,2)</f>
        <v>0</v>
      </c>
      <c r="J17" s="7">
        <f t="shared" ref="J17" si="159">ROUND((I17*0.58)+((I17*0.42)*0.1),2)</f>
        <v>0</v>
      </c>
      <c r="K17" s="7">
        <f t="shared" ref="K17" si="160">ROUND((I17*0.42)*0.9,2)</f>
        <v>0</v>
      </c>
      <c r="L17" s="18">
        <f t="shared" ref="L17" si="161">IF(J17+K17=I17,H17-I17,"ERROR")</f>
        <v>1454124.3700000006</v>
      </c>
      <c r="M17" s="7">
        <f t="shared" ref="M17" si="162">ROUND(L17*0.465,2)</f>
        <v>676167.83</v>
      </c>
      <c r="N17" s="7">
        <f>ROUND(L17*0.3,2)+0.01</f>
        <v>436237.32</v>
      </c>
      <c r="O17" s="7">
        <f t="shared" ref="O17" si="163">ROUND(L17*0.1285,2)</f>
        <v>186854.98</v>
      </c>
      <c r="P17" s="7">
        <f t="shared" ref="P17" si="164">ROUND((L17*0.07)*0.9,2)</f>
        <v>91609.84</v>
      </c>
      <c r="Q17" s="7">
        <f t="shared" ref="Q17" si="165">ROUND(L17*0.01,2)</f>
        <v>14541.24</v>
      </c>
      <c r="R17" s="7">
        <f t="shared" ref="R17" si="166">ROUND((L17*0.0075)*0.9,2)</f>
        <v>9815.34</v>
      </c>
      <c r="S17" s="7">
        <f t="shared" ref="S17" si="167">ROUND((L17*0.0075)*0.9,2)</f>
        <v>9815.34</v>
      </c>
      <c r="T17" s="7">
        <f>ROUND(L17*0.01,2)</f>
        <v>14541.24</v>
      </c>
      <c r="U17" s="7">
        <f>ROUND(L17*0.01,2)</f>
        <v>14541.24</v>
      </c>
      <c r="V17" s="16">
        <f t="shared" ref="V17" si="168">E17/W17</f>
        <v>1464.9060831721476</v>
      </c>
      <c r="W17" s="8">
        <v>1034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 t="shared" si="28"/>
        <v>45563</v>
      </c>
      <c r="B18" s="7">
        <v>16012030.76</v>
      </c>
      <c r="C18" s="7">
        <v>14173221.489999998</v>
      </c>
      <c r="D18" s="7">
        <v>310061</v>
      </c>
      <c r="E18" s="7">
        <f t="shared" ref="E18" si="169">B18-C18-D18</f>
        <v>1528748.2700000014</v>
      </c>
      <c r="F18" s="7">
        <f>ROUND(E18*0.04,2)-0.01</f>
        <v>61149.919999999998</v>
      </c>
      <c r="G18" s="7">
        <f t="shared" ref="G18" si="170">ROUND(E18*0,2)</f>
        <v>0</v>
      </c>
      <c r="H18" s="7">
        <f t="shared" ref="H18" si="171">E18-F18-G18</f>
        <v>1467598.3500000015</v>
      </c>
      <c r="I18" s="7">
        <f t="shared" ref="I18" si="172">ROUND(H18*0,2)</f>
        <v>0</v>
      </c>
      <c r="J18" s="7">
        <f t="shared" ref="J18" si="173">ROUND((I18*0.58)+((I18*0.42)*0.1),2)</f>
        <v>0</v>
      </c>
      <c r="K18" s="7">
        <f t="shared" ref="K18" si="174">ROUND((I18*0.42)*0.9,2)</f>
        <v>0</v>
      </c>
      <c r="L18" s="18">
        <f t="shared" ref="L18" si="175">IF(J18+K18=I18,H18-I18,"ERROR")</f>
        <v>1467598.3500000015</v>
      </c>
      <c r="M18" s="7">
        <f t="shared" ref="M18" si="176">ROUND(L18*0.465,2)</f>
        <v>682433.23</v>
      </c>
      <c r="N18" s="7">
        <f>ROUND(L18*0.3,2)</f>
        <v>440279.51</v>
      </c>
      <c r="O18" s="7">
        <f t="shared" ref="O18" si="177">ROUND(L18*0.1285,2)</f>
        <v>188586.39</v>
      </c>
      <c r="P18" s="7">
        <f t="shared" ref="P18" si="178">ROUND((L18*0.07)*0.9,2)</f>
        <v>92458.7</v>
      </c>
      <c r="Q18" s="7">
        <f t="shared" ref="Q18" si="179">ROUND(L18*0.01,2)</f>
        <v>14675.98</v>
      </c>
      <c r="R18" s="7">
        <f t="shared" ref="R18" si="180">ROUND((L18*0.0075)*0.9,2)</f>
        <v>9906.2900000000009</v>
      </c>
      <c r="S18" s="7">
        <f t="shared" ref="S18" si="181">ROUND((L18*0.0075)*0.9,2)</f>
        <v>9906.2900000000009</v>
      </c>
      <c r="T18" s="7">
        <f>ROUND(L18*0.01,2)</f>
        <v>14675.98</v>
      </c>
      <c r="U18" s="7">
        <f>ROUND(L18*0.01,2)</f>
        <v>14675.98</v>
      </c>
      <c r="V18" s="16">
        <f t="shared" ref="V18" si="182">E18/W18</f>
        <v>1482.7820271581004</v>
      </c>
      <c r="W18" s="8">
        <v>1031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 t="shared" si="28"/>
        <v>45570</v>
      </c>
      <c r="B19" s="7">
        <v>15266570.879999999</v>
      </c>
      <c r="C19" s="7">
        <v>13631966.810000001</v>
      </c>
      <c r="D19" s="7">
        <v>324959</v>
      </c>
      <c r="E19" s="7">
        <f t="shared" ref="E19" si="183">B19-C19-D19</f>
        <v>1309645.0699999984</v>
      </c>
      <c r="F19" s="7">
        <f>ROUND(E19*0.04,2)+0.01</f>
        <v>52385.810000000005</v>
      </c>
      <c r="G19" s="7">
        <f t="shared" ref="G19" si="184">ROUND(E19*0,2)</f>
        <v>0</v>
      </c>
      <c r="H19" s="7">
        <f t="shared" ref="H19" si="185">E19-F19-G19</f>
        <v>1257259.2599999984</v>
      </c>
      <c r="I19" s="7">
        <f t="shared" ref="I19" si="186">ROUND(H19*0,2)</f>
        <v>0</v>
      </c>
      <c r="J19" s="7">
        <f t="shared" ref="J19" si="187">ROUND((I19*0.58)+((I19*0.42)*0.1),2)</f>
        <v>0</v>
      </c>
      <c r="K19" s="7">
        <f t="shared" ref="K19" si="188">ROUND((I19*0.42)*0.9,2)</f>
        <v>0</v>
      </c>
      <c r="L19" s="18">
        <f t="shared" ref="L19" si="189">IF(J19+K19=I19,H19-I19,"ERROR")</f>
        <v>1257259.2599999984</v>
      </c>
      <c r="M19" s="7">
        <f t="shared" ref="M19" si="190">ROUND(L19*0.465,2)</f>
        <v>584625.56000000006</v>
      </c>
      <c r="N19" s="7">
        <f>ROUND(L19*0.3,2)+0.01</f>
        <v>377177.79000000004</v>
      </c>
      <c r="O19" s="7">
        <f t="shared" ref="O19" si="191">ROUND(L19*0.1285,2)</f>
        <v>161557.81</v>
      </c>
      <c r="P19" s="7">
        <f t="shared" ref="P19" si="192">ROUND((L19*0.07)*0.9,2)</f>
        <v>79207.33</v>
      </c>
      <c r="Q19" s="7">
        <f t="shared" ref="Q19" si="193">ROUND(L19*0.01,2)</f>
        <v>12572.59</v>
      </c>
      <c r="R19" s="7">
        <f t="shared" ref="R19" si="194">ROUND((L19*0.0075)*0.9,2)</f>
        <v>8486.5</v>
      </c>
      <c r="S19" s="7">
        <f t="shared" ref="S19" si="195">ROUND((L19*0.0075)*0.9,2)</f>
        <v>8486.5</v>
      </c>
      <c r="T19" s="7">
        <f>ROUND(L19*0.01,2)+0.01</f>
        <v>12572.6</v>
      </c>
      <c r="U19" s="7">
        <f>ROUND(L19*0.01,2)-0.01</f>
        <v>12572.58</v>
      </c>
      <c r="V19" s="16">
        <f t="shared" ref="V19" si="196">E19/W19</f>
        <v>1275.2142843232702</v>
      </c>
      <c r="W19" s="8">
        <v>1027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 t="shared" si="28"/>
        <v>45577</v>
      </c>
      <c r="B20" s="7">
        <v>14867261.700000001</v>
      </c>
      <c r="C20" s="7">
        <v>13137379.990000002</v>
      </c>
      <c r="D20" s="7">
        <v>305052</v>
      </c>
      <c r="E20" s="7">
        <f t="shared" ref="E20" si="197">B20-C20-D20</f>
        <v>1424829.709999999</v>
      </c>
      <c r="F20" s="7">
        <f>ROUND(E20*0.04,2)-0.01</f>
        <v>56993.18</v>
      </c>
      <c r="G20" s="7">
        <f t="shared" ref="G20" si="198">ROUND(E20*0,2)</f>
        <v>0</v>
      </c>
      <c r="H20" s="7">
        <f t="shared" ref="H20" si="199">E20-F20-G20</f>
        <v>1367836.5299999991</v>
      </c>
      <c r="I20" s="7">
        <f t="shared" ref="I20" si="200">ROUND(H20*0,2)</f>
        <v>0</v>
      </c>
      <c r="J20" s="7">
        <f t="shared" ref="J20" si="201">ROUND((I20*0.58)+((I20*0.42)*0.1),2)</f>
        <v>0</v>
      </c>
      <c r="K20" s="7">
        <f t="shared" ref="K20" si="202">ROUND((I20*0.42)*0.9,2)</f>
        <v>0</v>
      </c>
      <c r="L20" s="18">
        <f t="shared" ref="L20" si="203">IF(J20+K20=I20,H20-I20,"ERROR")</f>
        <v>1367836.5299999991</v>
      </c>
      <c r="M20" s="7">
        <f t="shared" ref="M20" si="204">ROUND(L20*0.465,2)</f>
        <v>636043.99</v>
      </c>
      <c r="N20" s="7">
        <f>ROUND(L20*0.3,2)-0.02</f>
        <v>410350.94</v>
      </c>
      <c r="O20" s="7">
        <f t="shared" ref="O20" si="205">ROUND(L20*0.1285,2)</f>
        <v>175766.99</v>
      </c>
      <c r="P20" s="7">
        <f t="shared" ref="P20" si="206">ROUND((L20*0.07)*0.9,2)</f>
        <v>86173.7</v>
      </c>
      <c r="Q20" s="7">
        <f t="shared" ref="Q20" si="207">ROUND(L20*0.01,2)</f>
        <v>13678.37</v>
      </c>
      <c r="R20" s="7">
        <f t="shared" ref="R20" si="208">ROUND((L20*0.0075)*0.9,2)</f>
        <v>9232.9</v>
      </c>
      <c r="S20" s="7">
        <f t="shared" ref="S20" si="209">ROUND((L20*0.0075)*0.9,2)</f>
        <v>9232.9</v>
      </c>
      <c r="T20" s="7">
        <f>ROUND(L20*0.01,2)-0.01</f>
        <v>13678.36</v>
      </c>
      <c r="U20" s="7">
        <f>ROUND(L20*0.01,2)+0.01</f>
        <v>13678.380000000001</v>
      </c>
      <c r="V20" s="16">
        <f t="shared" ref="V20" si="210">E20/W20</f>
        <v>1450.9467515274939</v>
      </c>
      <c r="W20" s="8">
        <v>982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 t="shared" si="28"/>
        <v>45584</v>
      </c>
      <c r="B21" s="7">
        <v>15795190.24</v>
      </c>
      <c r="C21" s="7">
        <v>13987223.59</v>
      </c>
      <c r="D21" s="7">
        <v>316484</v>
      </c>
      <c r="E21" s="7">
        <f t="shared" ref="E21" si="211">B21-C21-D21</f>
        <v>1491482.6500000004</v>
      </c>
      <c r="F21" s="7">
        <f>ROUND(E21*0.04,2)</f>
        <v>59659.31</v>
      </c>
      <c r="G21" s="7">
        <f t="shared" ref="G21" si="212">ROUND(E21*0,2)</f>
        <v>0</v>
      </c>
      <c r="H21" s="7">
        <f t="shared" ref="H21" si="213">E21-F21-G21</f>
        <v>1431823.3400000003</v>
      </c>
      <c r="I21" s="7">
        <f t="shared" ref="I21" si="214">ROUND(H21*0,2)</f>
        <v>0</v>
      </c>
      <c r="J21" s="7">
        <f t="shared" ref="J21" si="215">ROUND((I21*0.58)+((I21*0.42)*0.1),2)</f>
        <v>0</v>
      </c>
      <c r="K21" s="7">
        <f t="shared" ref="K21" si="216">ROUND((I21*0.42)*0.9,2)</f>
        <v>0</v>
      </c>
      <c r="L21" s="18">
        <f t="shared" ref="L21:L26" si="217">IF(J21+K21=I21,H21-I21,"ERROR")</f>
        <v>1431823.3400000003</v>
      </c>
      <c r="M21" s="7">
        <f t="shared" ref="M21" si="218">ROUND(L21*0.465,2)</f>
        <v>665797.85</v>
      </c>
      <c r="N21" s="7">
        <f>ROUND(L21*0.3,2)+0.01</f>
        <v>429547.01</v>
      </c>
      <c r="O21" s="7">
        <f t="shared" ref="O21" si="219">ROUND(L21*0.1285,2)</f>
        <v>183989.3</v>
      </c>
      <c r="P21" s="7">
        <f t="shared" ref="P21" si="220">ROUND((L21*0.07)*0.9,2)</f>
        <v>90204.87</v>
      </c>
      <c r="Q21" s="7">
        <f t="shared" ref="Q21" si="221">ROUND(L21*0.01,2)</f>
        <v>14318.23</v>
      </c>
      <c r="R21" s="7">
        <f t="shared" ref="R21" si="222">ROUND((L21*0.0075)*0.9,2)</f>
        <v>9664.81</v>
      </c>
      <c r="S21" s="7">
        <f t="shared" ref="S21" si="223">ROUND((L21*0.0075)*0.9,2)</f>
        <v>9664.81</v>
      </c>
      <c r="T21" s="7">
        <f>ROUND(L21*0.01,2)+0.01</f>
        <v>14318.24</v>
      </c>
      <c r="U21" s="7">
        <f>ROUND(L21*0.01,2)-0.01</f>
        <v>14318.22</v>
      </c>
      <c r="V21" s="16">
        <f t="shared" ref="V21" si="224">E21/W21</f>
        <v>1452.2713242453754</v>
      </c>
      <c r="W21" s="8">
        <v>1027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19">
        <f t="shared" si="28"/>
        <v>45591</v>
      </c>
      <c r="B22" s="20">
        <v>14999355.050000001</v>
      </c>
      <c r="C22" s="20">
        <v>13279741.810000001</v>
      </c>
      <c r="D22" s="20">
        <v>297716</v>
      </c>
      <c r="E22" s="20">
        <f t="shared" ref="E22" si="225">B22-C22-D22</f>
        <v>1421897.2400000002</v>
      </c>
      <c r="F22" s="20">
        <f>ROUND(E22*0.04,2)</f>
        <v>56875.89</v>
      </c>
      <c r="G22" s="20">
        <f t="shared" ref="G22" si="226">ROUND(E22*0,2)</f>
        <v>0</v>
      </c>
      <c r="H22" s="20">
        <f t="shared" ref="H22" si="227">E22-F22-G22</f>
        <v>1365021.3500000003</v>
      </c>
      <c r="I22" s="20">
        <f t="shared" ref="I22" si="228">ROUND(H22*0,2)</f>
        <v>0</v>
      </c>
      <c r="J22" s="20">
        <f t="shared" ref="J22" si="229">ROUND((I22*0.58)+((I22*0.42)*0.1),2)</f>
        <v>0</v>
      </c>
      <c r="K22" s="20">
        <f t="shared" ref="K22" si="230">ROUND((I22*0.42)*0.9,2)</f>
        <v>0</v>
      </c>
      <c r="L22" s="21">
        <f t="shared" si="217"/>
        <v>1365021.3500000003</v>
      </c>
      <c r="M22" s="20">
        <f t="shared" ref="M22" si="231">ROUND(L22*0.465,2)</f>
        <v>634734.93000000005</v>
      </c>
      <c r="N22" s="20">
        <f>ROUND(L22*0.3,2)+0.01</f>
        <v>409506.42</v>
      </c>
      <c r="O22" s="20">
        <f t="shared" ref="O22" si="232">ROUND(L22*0.1285,2)</f>
        <v>175405.24</v>
      </c>
      <c r="P22" s="20">
        <f t="shared" ref="P22" si="233">ROUND((L22*0.07)*0.9,2)</f>
        <v>85996.35</v>
      </c>
      <c r="Q22" s="20">
        <f t="shared" ref="Q22" si="234">ROUND(L22*0.01,2)</f>
        <v>13650.21</v>
      </c>
      <c r="R22" s="20">
        <f t="shared" ref="R22" si="235">ROUND((L22*0.0075)*0.9,2)</f>
        <v>9213.89</v>
      </c>
      <c r="S22" s="20">
        <f t="shared" ref="S22" si="236">ROUND((L22*0.0075)*0.9,2)</f>
        <v>9213.89</v>
      </c>
      <c r="T22" s="20">
        <f>ROUND(L22*0.01,2)-0.01</f>
        <v>13650.199999999999</v>
      </c>
      <c r="U22" s="20">
        <f>ROUND(L22*0.01,2)+0.01</f>
        <v>13650.22</v>
      </c>
      <c r="V22" s="22">
        <f t="shared" ref="V22" si="237">E22/W22</f>
        <v>1379.1437827352088</v>
      </c>
      <c r="W22" s="23">
        <v>1031</v>
      </c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0"/>
      <c r="CQ22" s="20"/>
      <c r="CR22" s="20"/>
    </row>
    <row r="23" spans="1:96" ht="15" customHeight="1" x14ac:dyDescent="0.25">
      <c r="A23" s="19">
        <f t="shared" si="28"/>
        <v>45598</v>
      </c>
      <c r="B23" s="20">
        <v>16450947.390000001</v>
      </c>
      <c r="C23" s="20">
        <v>14427113.18</v>
      </c>
      <c r="D23" s="20">
        <v>345861</v>
      </c>
      <c r="E23" s="20">
        <f t="shared" ref="E23" si="238">B23-C23-D23</f>
        <v>1677973.2100000009</v>
      </c>
      <c r="F23" s="20">
        <f>ROUND(E23*0.04,2)</f>
        <v>67118.929999999993</v>
      </c>
      <c r="G23" s="20">
        <f t="shared" ref="G23" si="239">ROUND(E23*0,2)</f>
        <v>0</v>
      </c>
      <c r="H23" s="20">
        <f t="shared" ref="H23" si="240">E23-F23-G23</f>
        <v>1610854.280000001</v>
      </c>
      <c r="I23" s="20">
        <f t="shared" ref="I23" si="241">ROUND(H23*0,2)</f>
        <v>0</v>
      </c>
      <c r="J23" s="20">
        <f t="shared" ref="J23" si="242">ROUND((I23*0.58)+((I23*0.42)*0.1),2)</f>
        <v>0</v>
      </c>
      <c r="K23" s="20">
        <f t="shared" ref="K23" si="243">ROUND((I23*0.42)*0.9,2)</f>
        <v>0</v>
      </c>
      <c r="L23" s="21">
        <f t="shared" si="217"/>
        <v>1610854.280000001</v>
      </c>
      <c r="M23" s="20">
        <f t="shared" ref="M23" si="244">ROUND(L23*0.465,2)</f>
        <v>749047.24</v>
      </c>
      <c r="N23" s="20">
        <f>ROUND(L23*0.3,2)+0.01</f>
        <v>483256.29000000004</v>
      </c>
      <c r="O23" s="20">
        <f t="shared" ref="O23" si="245">ROUND(L23*0.1285,2)</f>
        <v>206994.77</v>
      </c>
      <c r="P23" s="20">
        <f t="shared" ref="P23" si="246">ROUND((L23*0.07)*0.9,2)</f>
        <v>101483.82</v>
      </c>
      <c r="Q23" s="20">
        <f t="shared" ref="Q23" si="247">ROUND(L23*0.01,2)</f>
        <v>16108.54</v>
      </c>
      <c r="R23" s="20">
        <f t="shared" ref="R23" si="248">ROUND((L23*0.0075)*0.9,2)</f>
        <v>10873.27</v>
      </c>
      <c r="S23" s="20">
        <f t="shared" ref="S23" si="249">ROUND((L23*0.0075)*0.9,2)</f>
        <v>10873.27</v>
      </c>
      <c r="T23" s="20">
        <f t="shared" ref="T23:T28" si="250">ROUND(L23*0.01,2)</f>
        <v>16108.54</v>
      </c>
      <c r="U23" s="20">
        <f t="shared" ref="U23:U28" si="251">ROUND(L23*0.01,2)</f>
        <v>16108.54</v>
      </c>
      <c r="V23" s="22">
        <f t="shared" ref="V23" si="252">E23/W23</f>
        <v>1625.9430329457373</v>
      </c>
      <c r="W23" s="23">
        <v>1032</v>
      </c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20"/>
      <c r="CG23" s="20"/>
      <c r="CH23" s="20"/>
      <c r="CI23" s="20"/>
      <c r="CJ23" s="20"/>
      <c r="CK23" s="20"/>
      <c r="CL23" s="20"/>
      <c r="CM23" s="20"/>
      <c r="CN23" s="20"/>
      <c r="CO23" s="20"/>
      <c r="CP23" s="20"/>
      <c r="CQ23" s="20"/>
      <c r="CR23" s="20"/>
    </row>
    <row r="24" spans="1:96" ht="15" customHeight="1" x14ac:dyDescent="0.25">
      <c r="A24" s="19">
        <f t="shared" si="28"/>
        <v>45605</v>
      </c>
      <c r="B24" s="20">
        <v>15105199.149999999</v>
      </c>
      <c r="C24" s="20">
        <v>13463319.539999999</v>
      </c>
      <c r="D24" s="20">
        <v>300388</v>
      </c>
      <c r="E24" s="20">
        <f t="shared" ref="E24" si="253">B24-C24-D24</f>
        <v>1341491.6099999994</v>
      </c>
      <c r="F24" s="20">
        <f>ROUND(E24*0.04,2)+0.01</f>
        <v>53659.670000000006</v>
      </c>
      <c r="G24" s="20">
        <f t="shared" ref="G24" si="254">ROUND(E24*0,2)</f>
        <v>0</v>
      </c>
      <c r="H24" s="20">
        <f t="shared" ref="H24" si="255">E24-F24-G24</f>
        <v>1287831.9399999995</v>
      </c>
      <c r="I24" s="20">
        <f t="shared" ref="I24" si="256">ROUND(H24*0,2)</f>
        <v>0</v>
      </c>
      <c r="J24" s="20">
        <f t="shared" ref="J24" si="257">ROUND((I24*0.58)+((I24*0.42)*0.1),2)</f>
        <v>0</v>
      </c>
      <c r="K24" s="20">
        <f t="shared" ref="K24" si="258">ROUND((I24*0.42)*0.9,2)</f>
        <v>0</v>
      </c>
      <c r="L24" s="21">
        <f t="shared" si="217"/>
        <v>1287831.9399999995</v>
      </c>
      <c r="M24" s="20">
        <f t="shared" ref="M24" si="259">ROUND(L24*0.465,2)</f>
        <v>598841.85</v>
      </c>
      <c r="N24" s="20">
        <f>ROUND(L24*0.3,2)</f>
        <v>386349.58</v>
      </c>
      <c r="O24" s="20">
        <f t="shared" ref="O24:O29" si="260">ROUND(L24*0.1285,2)</f>
        <v>165486.39999999999</v>
      </c>
      <c r="P24" s="20">
        <f t="shared" ref="P24" si="261">ROUND((L24*0.07)*0.9,2)</f>
        <v>81133.41</v>
      </c>
      <c r="Q24" s="20">
        <f t="shared" ref="Q24" si="262">ROUND(L24*0.01,2)</f>
        <v>12878.32</v>
      </c>
      <c r="R24" s="20">
        <f t="shared" ref="R24" si="263">ROUND((L24*0.0075)*0.9,2)</f>
        <v>8692.8700000000008</v>
      </c>
      <c r="S24" s="20">
        <f t="shared" ref="S24" si="264">ROUND((L24*0.0075)*0.9,2)</f>
        <v>8692.8700000000008</v>
      </c>
      <c r="T24" s="20">
        <f t="shared" si="250"/>
        <v>12878.32</v>
      </c>
      <c r="U24" s="20">
        <f t="shared" si="251"/>
        <v>12878.32</v>
      </c>
      <c r="V24" s="22">
        <f t="shared" ref="V24" si="265">E24/W24</f>
        <v>1310.0504003906244</v>
      </c>
      <c r="W24" s="23">
        <v>1024</v>
      </c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20"/>
      <c r="AY24" s="20"/>
      <c r="AZ24" s="20"/>
      <c r="BA24" s="20"/>
      <c r="BB24" s="20"/>
      <c r="BC24" s="20"/>
      <c r="BD24" s="20"/>
      <c r="BE24" s="20"/>
      <c r="BF24" s="20"/>
      <c r="BG24" s="20"/>
      <c r="BH24" s="20"/>
      <c r="BI24" s="20"/>
      <c r="BJ24" s="20"/>
      <c r="BK24" s="20"/>
      <c r="BL24" s="20"/>
      <c r="BM24" s="20"/>
      <c r="BN24" s="20"/>
      <c r="BO24" s="20"/>
      <c r="BP24" s="20"/>
      <c r="BQ24" s="20"/>
      <c r="BR24" s="20"/>
      <c r="BS24" s="20"/>
      <c r="BT24" s="20"/>
      <c r="BU24" s="20"/>
      <c r="BV24" s="20"/>
      <c r="BW24" s="20"/>
      <c r="BX24" s="20"/>
      <c r="BY24" s="20"/>
      <c r="BZ24" s="20"/>
      <c r="CA24" s="20"/>
      <c r="CB24" s="20"/>
      <c r="CC24" s="20"/>
      <c r="CD24" s="20"/>
      <c r="CE24" s="20"/>
      <c r="CF24" s="20"/>
      <c r="CG24" s="20"/>
      <c r="CH24" s="20"/>
      <c r="CI24" s="20"/>
      <c r="CJ24" s="20"/>
      <c r="CK24" s="20"/>
      <c r="CL24" s="20"/>
      <c r="CM24" s="20"/>
      <c r="CN24" s="20"/>
      <c r="CO24" s="20"/>
      <c r="CP24" s="20"/>
      <c r="CQ24" s="20"/>
      <c r="CR24" s="20"/>
    </row>
    <row r="25" spans="1:96" ht="15" customHeight="1" x14ac:dyDescent="0.25">
      <c r="A25" s="19">
        <f t="shared" si="28"/>
        <v>45612</v>
      </c>
      <c r="B25" s="20">
        <v>14847411.609999999</v>
      </c>
      <c r="C25" s="20">
        <v>13120857.43</v>
      </c>
      <c r="D25" s="20">
        <v>308537</v>
      </c>
      <c r="E25" s="20">
        <f t="shared" ref="E25" si="266">B25-C25-D25</f>
        <v>1418017.1799999997</v>
      </c>
      <c r="F25" s="20">
        <f>ROUND(E25*0.04,2)</f>
        <v>56720.69</v>
      </c>
      <c r="G25" s="20">
        <f t="shared" ref="G25" si="267">ROUND(E25*0,2)</f>
        <v>0</v>
      </c>
      <c r="H25" s="20">
        <f t="shared" ref="H25" si="268">E25-F25-G25</f>
        <v>1361296.4899999998</v>
      </c>
      <c r="I25" s="20">
        <f t="shared" ref="I25" si="269">ROUND(H25*0,2)</f>
        <v>0</v>
      </c>
      <c r="J25" s="20">
        <f t="shared" ref="J25" si="270">ROUND((I25*0.58)+((I25*0.42)*0.1),2)</f>
        <v>0</v>
      </c>
      <c r="K25" s="20">
        <f t="shared" ref="K25" si="271">ROUND((I25*0.42)*0.9,2)</f>
        <v>0</v>
      </c>
      <c r="L25" s="21">
        <f t="shared" si="217"/>
        <v>1361296.4899999998</v>
      </c>
      <c r="M25" s="20">
        <f t="shared" ref="M25" si="272">ROUND(L25*0.465,2)</f>
        <v>633002.87</v>
      </c>
      <c r="N25" s="20">
        <f>ROUND(L25*0.3,2)+0.01</f>
        <v>408388.96</v>
      </c>
      <c r="O25" s="20">
        <f t="shared" si="260"/>
        <v>174926.6</v>
      </c>
      <c r="P25" s="20">
        <f t="shared" ref="P25" si="273">ROUND((L25*0.07)*0.9,2)</f>
        <v>85761.68</v>
      </c>
      <c r="Q25" s="20">
        <f t="shared" ref="Q25" si="274">ROUND(L25*0.01,2)</f>
        <v>13612.96</v>
      </c>
      <c r="R25" s="20">
        <f t="shared" ref="R25" si="275">ROUND((L25*0.0075)*0.9,2)</f>
        <v>9188.75</v>
      </c>
      <c r="S25" s="20">
        <f t="shared" ref="S25" si="276">ROUND((L25*0.0075)*0.9,2)</f>
        <v>9188.75</v>
      </c>
      <c r="T25" s="20">
        <f t="shared" si="250"/>
        <v>13612.96</v>
      </c>
      <c r="U25" s="20">
        <f t="shared" si="251"/>
        <v>13612.96</v>
      </c>
      <c r="V25" s="22">
        <f t="shared" ref="V25" si="277">E25/W25</f>
        <v>1375.3803879728416</v>
      </c>
      <c r="W25" s="23">
        <v>1031</v>
      </c>
      <c r="X25" s="20"/>
      <c r="Y25" s="20"/>
      <c r="Z25" s="20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20"/>
      <c r="AY25" s="20"/>
      <c r="AZ25" s="20"/>
      <c r="BA25" s="20"/>
      <c r="BB25" s="20"/>
      <c r="BC25" s="20"/>
      <c r="BD25" s="20"/>
      <c r="BE25" s="20"/>
      <c r="BF25" s="20"/>
      <c r="BG25" s="20"/>
      <c r="BH25" s="20"/>
      <c r="BI25" s="20"/>
      <c r="BJ25" s="20"/>
      <c r="BK25" s="20"/>
      <c r="BL25" s="20"/>
      <c r="BM25" s="20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0"/>
      <c r="CJ25" s="20"/>
      <c r="CK25" s="20"/>
      <c r="CL25" s="20"/>
      <c r="CM25" s="20"/>
      <c r="CN25" s="20"/>
      <c r="CO25" s="20"/>
      <c r="CP25" s="20"/>
      <c r="CQ25" s="20"/>
      <c r="CR25" s="20"/>
    </row>
    <row r="26" spans="1:96" ht="15" customHeight="1" x14ac:dyDescent="0.25">
      <c r="A26" s="19">
        <f t="shared" si="28"/>
        <v>45619</v>
      </c>
      <c r="B26" s="20">
        <v>14307427.5</v>
      </c>
      <c r="C26" s="20">
        <v>12757704.59</v>
      </c>
      <c r="D26" s="20">
        <v>281537</v>
      </c>
      <c r="E26" s="20">
        <f t="shared" ref="E26" si="278">B26-C26-D26</f>
        <v>1268185.9100000001</v>
      </c>
      <c r="F26" s="20">
        <f>ROUND(E26*0.04,2)-0.01</f>
        <v>50727.43</v>
      </c>
      <c r="G26" s="20">
        <f t="shared" ref="G26" si="279">ROUND(E26*0,2)</f>
        <v>0</v>
      </c>
      <c r="H26" s="20">
        <f t="shared" ref="H26" si="280">E26-F26-G26</f>
        <v>1217458.4800000002</v>
      </c>
      <c r="I26" s="20">
        <f t="shared" ref="I26" si="281">ROUND(H26*0,2)</f>
        <v>0</v>
      </c>
      <c r="J26" s="20">
        <f t="shared" ref="J26" si="282">ROUND((I26*0.58)+((I26*0.42)*0.1),2)</f>
        <v>0</v>
      </c>
      <c r="K26" s="20">
        <f t="shared" ref="K26" si="283">ROUND((I26*0.42)*0.9,2)</f>
        <v>0</v>
      </c>
      <c r="L26" s="21">
        <f t="shared" si="217"/>
        <v>1217458.4800000002</v>
      </c>
      <c r="M26" s="20">
        <f t="shared" ref="M26" si="284">ROUND(L26*0.465,2)</f>
        <v>566118.18999999994</v>
      </c>
      <c r="N26" s="20">
        <f>ROUND(L26*0.3,2)+0.04</f>
        <v>365237.57999999996</v>
      </c>
      <c r="O26" s="20">
        <f t="shared" si="260"/>
        <v>156443.41</v>
      </c>
      <c r="P26" s="20">
        <f t="shared" ref="P26" si="285">ROUND((L26*0.07)*0.9,2)</f>
        <v>76699.88</v>
      </c>
      <c r="Q26" s="20">
        <f t="shared" ref="Q26" si="286">ROUND(L26*0.01,2)</f>
        <v>12174.58</v>
      </c>
      <c r="R26" s="20">
        <f t="shared" ref="R26" si="287">ROUND((L26*0.0075)*0.9,2)</f>
        <v>8217.84</v>
      </c>
      <c r="S26" s="20">
        <f t="shared" ref="S26" si="288">ROUND((L26*0.0075)*0.9,2)</f>
        <v>8217.84</v>
      </c>
      <c r="T26" s="20">
        <f t="shared" si="250"/>
        <v>12174.58</v>
      </c>
      <c r="U26" s="20">
        <f t="shared" si="251"/>
        <v>12174.58</v>
      </c>
      <c r="V26" s="22">
        <f t="shared" ref="V26" si="289">E26/W26</f>
        <v>1244.539656526006</v>
      </c>
      <c r="W26" s="23">
        <v>1019</v>
      </c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20"/>
      <c r="CG26" s="20"/>
      <c r="CH26" s="20"/>
      <c r="CI26" s="20"/>
      <c r="CJ26" s="20"/>
      <c r="CK26" s="20"/>
      <c r="CL26" s="20"/>
      <c r="CM26" s="20"/>
      <c r="CN26" s="20"/>
      <c r="CO26" s="20"/>
      <c r="CP26" s="20"/>
      <c r="CQ26" s="20"/>
      <c r="CR26" s="20"/>
    </row>
    <row r="27" spans="1:96" ht="15" customHeight="1" x14ac:dyDescent="0.25">
      <c r="A27" s="19">
        <f t="shared" si="28"/>
        <v>45626</v>
      </c>
      <c r="B27" s="20">
        <v>15307909.84</v>
      </c>
      <c r="C27" s="20">
        <v>13696680.859999999</v>
      </c>
      <c r="D27" s="20">
        <v>282167</v>
      </c>
      <c r="E27" s="20">
        <f t="shared" ref="E27" si="290">B27-C27-D27</f>
        <v>1329061.9800000004</v>
      </c>
      <c r="F27" s="20">
        <f>ROUND(E27*0.04,2)-0.01</f>
        <v>53162.47</v>
      </c>
      <c r="G27" s="20">
        <f t="shared" ref="G27" si="291">ROUND(E27*0,2)</f>
        <v>0</v>
      </c>
      <c r="H27" s="20">
        <f t="shared" ref="H27" si="292">E27-F27-G27</f>
        <v>1275899.5100000005</v>
      </c>
      <c r="I27" s="20">
        <f t="shared" ref="I27" si="293">ROUND(H27*0,2)</f>
        <v>0</v>
      </c>
      <c r="J27" s="20">
        <f t="shared" ref="J27" si="294">ROUND((I27*0.58)+((I27*0.42)*0.1),2)</f>
        <v>0</v>
      </c>
      <c r="K27" s="20">
        <f t="shared" ref="K27" si="295">ROUND((I27*0.42)*0.9,2)</f>
        <v>0</v>
      </c>
      <c r="L27" s="21">
        <f t="shared" ref="L27" si="296">IF(J27+K27=I27,H27-I27,"ERROR")</f>
        <v>1275899.5100000005</v>
      </c>
      <c r="M27" s="20">
        <f t="shared" ref="M27" si="297">ROUND(L27*0.465,2)</f>
        <v>593293.27</v>
      </c>
      <c r="N27" s="20">
        <f>ROUND(L27*0.3,2)-0.01</f>
        <v>382769.83999999997</v>
      </c>
      <c r="O27" s="20">
        <f t="shared" si="260"/>
        <v>163953.09</v>
      </c>
      <c r="P27" s="20">
        <f t="shared" ref="P27" si="298">ROUND((L27*0.07)*0.9,2)</f>
        <v>80381.67</v>
      </c>
      <c r="Q27" s="20">
        <f t="shared" ref="Q27" si="299">ROUND(L27*0.01,2)</f>
        <v>12759</v>
      </c>
      <c r="R27" s="20">
        <f t="shared" ref="R27" si="300">ROUND((L27*0.0075)*0.9,2)</f>
        <v>8612.32</v>
      </c>
      <c r="S27" s="20">
        <f t="shared" ref="S27" si="301">ROUND((L27*0.0075)*0.9,2)</f>
        <v>8612.32</v>
      </c>
      <c r="T27" s="20">
        <f t="shared" si="250"/>
        <v>12759</v>
      </c>
      <c r="U27" s="20">
        <f t="shared" si="251"/>
        <v>12759</v>
      </c>
      <c r="V27" s="22">
        <f t="shared" ref="V27" si="302">E27/W27</f>
        <v>1289.0998836081478</v>
      </c>
      <c r="W27" s="23">
        <v>1031</v>
      </c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20"/>
      <c r="CG27" s="20"/>
      <c r="CH27" s="20"/>
      <c r="CI27" s="20"/>
      <c r="CJ27" s="20"/>
      <c r="CK27" s="20"/>
      <c r="CL27" s="20"/>
      <c r="CM27" s="20"/>
      <c r="CN27" s="20"/>
      <c r="CO27" s="20"/>
      <c r="CP27" s="20"/>
      <c r="CQ27" s="20"/>
      <c r="CR27" s="20"/>
    </row>
    <row r="28" spans="1:96" ht="15" customHeight="1" x14ac:dyDescent="0.25">
      <c r="A28" s="19">
        <f t="shared" si="28"/>
        <v>45633</v>
      </c>
      <c r="B28" s="20">
        <v>13496403.630000001</v>
      </c>
      <c r="C28" s="20">
        <v>11951601.129999999</v>
      </c>
      <c r="D28" s="20">
        <v>300127</v>
      </c>
      <c r="E28" s="20">
        <f t="shared" ref="E28" si="303">B28-C28-D28</f>
        <v>1244675.5000000019</v>
      </c>
      <c r="F28" s="20">
        <f>ROUND(E28*0.04,2)-0.01</f>
        <v>49787.009999999995</v>
      </c>
      <c r="G28" s="20">
        <f t="shared" ref="G28" si="304">ROUND(E28*0,2)</f>
        <v>0</v>
      </c>
      <c r="H28" s="20">
        <f t="shared" ref="H28" si="305">E28-F28-G28</f>
        <v>1194888.4900000019</v>
      </c>
      <c r="I28" s="20">
        <f t="shared" ref="I28" si="306">ROUND(H28*0,2)</f>
        <v>0</v>
      </c>
      <c r="J28" s="20">
        <f t="shared" ref="J28" si="307">ROUND((I28*0.58)+((I28*0.42)*0.1),2)</f>
        <v>0</v>
      </c>
      <c r="K28" s="20">
        <f t="shared" ref="K28" si="308">ROUND((I28*0.42)*0.9,2)</f>
        <v>0</v>
      </c>
      <c r="L28" s="21">
        <f t="shared" ref="L28" si="309">IF(J28+K28=I28,H28-I28,"ERROR")</f>
        <v>1194888.4900000019</v>
      </c>
      <c r="M28" s="20">
        <f t="shared" ref="M28" si="310">ROUND(L28*0.465,2)</f>
        <v>555623.15</v>
      </c>
      <c r="N28" s="20">
        <f>ROUND(L28*0.3,2)+0.01</f>
        <v>358466.56</v>
      </c>
      <c r="O28" s="20">
        <f t="shared" si="260"/>
        <v>153543.17000000001</v>
      </c>
      <c r="P28" s="20">
        <f t="shared" ref="P28" si="311">ROUND((L28*0.07)*0.9,2)</f>
        <v>75277.97</v>
      </c>
      <c r="Q28" s="20">
        <f t="shared" ref="Q28" si="312">ROUND(L28*0.01,2)</f>
        <v>11948.88</v>
      </c>
      <c r="R28" s="20">
        <f t="shared" ref="R28" si="313">ROUND((L28*0.0075)*0.9,2)</f>
        <v>8065.5</v>
      </c>
      <c r="S28" s="20">
        <f t="shared" ref="S28" si="314">ROUND((L28*0.0075)*0.9,2)</f>
        <v>8065.5</v>
      </c>
      <c r="T28" s="20">
        <f t="shared" si="250"/>
        <v>11948.88</v>
      </c>
      <c r="U28" s="20">
        <f t="shared" si="251"/>
        <v>11948.88</v>
      </c>
      <c r="V28" s="22">
        <f t="shared" ref="V28" si="315">E28/W28</f>
        <v>1221.4676153091284</v>
      </c>
      <c r="W28" s="23">
        <v>1019</v>
      </c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</row>
    <row r="29" spans="1:96" ht="15" customHeight="1" x14ac:dyDescent="0.25">
      <c r="A29" s="19">
        <f t="shared" si="28"/>
        <v>45640</v>
      </c>
      <c r="B29" s="20">
        <v>12954124.870000001</v>
      </c>
      <c r="C29" s="20">
        <v>11442871.18</v>
      </c>
      <c r="D29" s="20">
        <v>267006</v>
      </c>
      <c r="E29" s="20">
        <f t="shared" ref="E29" si="316">B29-C29-D29</f>
        <v>1244247.6900000013</v>
      </c>
      <c r="F29" s="20">
        <f>ROUND(E29*0.04,2)</f>
        <v>49769.91</v>
      </c>
      <c r="G29" s="20">
        <f t="shared" ref="G29" si="317">ROUND(E29*0,2)</f>
        <v>0</v>
      </c>
      <c r="H29" s="20">
        <f t="shared" ref="H29" si="318">E29-F29-G29</f>
        <v>1194477.7800000014</v>
      </c>
      <c r="I29" s="20">
        <f t="shared" ref="I29" si="319">ROUND(H29*0,2)</f>
        <v>0</v>
      </c>
      <c r="J29" s="20">
        <f t="shared" ref="J29" si="320">ROUND((I29*0.58)+((I29*0.42)*0.1),2)</f>
        <v>0</v>
      </c>
      <c r="K29" s="20">
        <f t="shared" ref="K29" si="321">ROUND((I29*0.42)*0.9,2)</f>
        <v>0</v>
      </c>
      <c r="L29" s="21">
        <f t="shared" ref="L29" si="322">IF(J29+K29=I29,H29-I29,"ERROR")</f>
        <v>1194477.7800000014</v>
      </c>
      <c r="M29" s="20">
        <f t="shared" ref="M29" si="323">ROUND(L29*0.465,2)</f>
        <v>555432.17000000004</v>
      </c>
      <c r="N29" s="20">
        <f>ROUND(L29*0.3,2)-0.01</f>
        <v>358343.32</v>
      </c>
      <c r="O29" s="20">
        <f t="shared" si="260"/>
        <v>153490.39000000001</v>
      </c>
      <c r="P29" s="20">
        <f t="shared" ref="P29" si="324">ROUND((L29*0.07)*0.9,2)</f>
        <v>75252.100000000006</v>
      </c>
      <c r="Q29" s="20">
        <f t="shared" ref="Q29" si="325">ROUND(L29*0.01,2)</f>
        <v>11944.78</v>
      </c>
      <c r="R29" s="20">
        <f t="shared" ref="R29" si="326">ROUND((L29*0.0075)*0.9,2)</f>
        <v>8062.73</v>
      </c>
      <c r="S29" s="20">
        <f t="shared" ref="S29" si="327">ROUND((L29*0.0075)*0.9,2)</f>
        <v>8062.73</v>
      </c>
      <c r="T29" s="20">
        <f t="shared" ref="T29" si="328">ROUND(L29*0.01,2)</f>
        <v>11944.78</v>
      </c>
      <c r="U29" s="20">
        <f t="shared" ref="U29" si="329">ROUND(L29*0.01,2)</f>
        <v>11944.78</v>
      </c>
      <c r="V29" s="22">
        <f t="shared" ref="V29" si="330">E29/W29</f>
        <v>1223.4490560471991</v>
      </c>
      <c r="W29" s="23">
        <v>1017</v>
      </c>
      <c r="X29" s="20"/>
      <c r="Y29" s="20"/>
      <c r="Z29" s="20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20"/>
      <c r="AY29" s="20"/>
      <c r="AZ29" s="20"/>
      <c r="BA29" s="20"/>
      <c r="BB29" s="20"/>
      <c r="BC29" s="20"/>
      <c r="BD29" s="20"/>
      <c r="BE29" s="20"/>
      <c r="BF29" s="20"/>
      <c r="BG29" s="20"/>
      <c r="BH29" s="20"/>
      <c r="BI29" s="20"/>
      <c r="BJ29" s="20"/>
      <c r="BK29" s="20"/>
      <c r="BL29" s="20"/>
      <c r="BM29" s="20"/>
      <c r="BN29" s="20"/>
      <c r="BO29" s="20"/>
      <c r="BP29" s="20"/>
      <c r="BQ29" s="20"/>
      <c r="BR29" s="20"/>
      <c r="BS29" s="20"/>
      <c r="BT29" s="20"/>
      <c r="BU29" s="20"/>
      <c r="BV29" s="20"/>
      <c r="BW29" s="20"/>
      <c r="BX29" s="20"/>
      <c r="BY29" s="20"/>
      <c r="BZ29" s="20"/>
      <c r="CA29" s="20"/>
      <c r="CB29" s="20"/>
      <c r="CC29" s="20"/>
      <c r="CD29" s="20"/>
      <c r="CE29" s="20"/>
      <c r="CF29" s="20"/>
      <c r="CG29" s="20"/>
      <c r="CH29" s="20"/>
      <c r="CI29" s="20"/>
      <c r="CJ29" s="20"/>
      <c r="CK29" s="20"/>
      <c r="CL29" s="20"/>
      <c r="CM29" s="20"/>
      <c r="CN29" s="20"/>
      <c r="CO29" s="20"/>
      <c r="CP29" s="20"/>
      <c r="CQ29" s="20"/>
      <c r="CR29" s="20"/>
    </row>
    <row r="30" spans="1:96" ht="15" customHeight="1" x14ac:dyDescent="0.25">
      <c r="A30" s="19">
        <f t="shared" si="28"/>
        <v>45647</v>
      </c>
      <c r="B30" s="20">
        <v>10686227.199999999</v>
      </c>
      <c r="C30" s="20">
        <v>9493434.6300000008</v>
      </c>
      <c r="D30" s="20">
        <v>228458</v>
      </c>
      <c r="E30" s="20">
        <f t="shared" ref="E30" si="331">B30-C30-D30</f>
        <v>964334.56999999844</v>
      </c>
      <c r="F30" s="20">
        <f>ROUND(E30*0.04,2)+0.01</f>
        <v>38573.39</v>
      </c>
      <c r="G30" s="20">
        <f t="shared" ref="G30" si="332">ROUND(E30*0,2)</f>
        <v>0</v>
      </c>
      <c r="H30" s="20">
        <f t="shared" ref="H30" si="333">E30-F30-G30</f>
        <v>925761.17999999842</v>
      </c>
      <c r="I30" s="20">
        <f t="shared" ref="I30" si="334">ROUND(H30*0,2)</f>
        <v>0</v>
      </c>
      <c r="J30" s="20">
        <f t="shared" ref="J30" si="335">ROUND((I30*0.58)+((I30*0.42)*0.1),2)</f>
        <v>0</v>
      </c>
      <c r="K30" s="20">
        <f t="shared" ref="K30" si="336">ROUND((I30*0.42)*0.9,2)</f>
        <v>0</v>
      </c>
      <c r="L30" s="21">
        <f t="shared" ref="L30" si="337">IF(J30+K30=I30,H30-I30,"ERROR")</f>
        <v>925761.17999999842</v>
      </c>
      <c r="M30" s="20">
        <f t="shared" ref="M30" si="338">ROUND(L30*0.465,2)</f>
        <v>430478.95</v>
      </c>
      <c r="N30" s="20">
        <f>ROUND(L30*0.3,2)+0.01</f>
        <v>277728.36</v>
      </c>
      <c r="O30" s="20">
        <f t="shared" ref="O30" si="339">ROUND(L30*0.1285,2)</f>
        <v>118960.31</v>
      </c>
      <c r="P30" s="20">
        <f t="shared" ref="P30" si="340">ROUND((L30*0.07)*0.9,2)</f>
        <v>58322.95</v>
      </c>
      <c r="Q30" s="20">
        <f t="shared" ref="Q30" si="341">ROUND(L30*0.01,2)</f>
        <v>9257.61</v>
      </c>
      <c r="R30" s="20">
        <f t="shared" ref="R30" si="342">ROUND((L30*0.0075)*0.9,2)</f>
        <v>6248.89</v>
      </c>
      <c r="S30" s="20">
        <f t="shared" ref="S30" si="343">ROUND((L30*0.0075)*0.9,2)</f>
        <v>6248.89</v>
      </c>
      <c r="T30" s="20">
        <f>ROUND(L30*0.01,2)+0.01</f>
        <v>9257.6200000000008</v>
      </c>
      <c r="U30" s="20">
        <f>ROUND(L30*0.01,2)-0.01</f>
        <v>9257.6</v>
      </c>
      <c r="V30" s="22">
        <f t="shared" ref="V30" si="344">E30/W30</f>
        <v>949.14819881889605</v>
      </c>
      <c r="W30" s="23">
        <v>1016</v>
      </c>
      <c r="X30" s="20"/>
      <c r="Y30" s="20"/>
      <c r="Z30" s="20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20"/>
      <c r="CG30" s="20"/>
      <c r="CH30" s="20"/>
      <c r="CI30" s="20"/>
      <c r="CJ30" s="20"/>
      <c r="CK30" s="20"/>
      <c r="CL30" s="20"/>
      <c r="CM30" s="20"/>
      <c r="CN30" s="20"/>
      <c r="CO30" s="20"/>
      <c r="CP30" s="20"/>
      <c r="CQ30" s="20"/>
      <c r="CR30" s="20"/>
    </row>
    <row r="31" spans="1:96" ht="15" customHeight="1" x14ac:dyDescent="0.25">
      <c r="A31" s="19">
        <f t="shared" si="28"/>
        <v>45654</v>
      </c>
      <c r="B31" s="20">
        <v>18111975.960000001</v>
      </c>
      <c r="C31" s="20">
        <v>15989483.559999999</v>
      </c>
      <c r="D31" s="20">
        <v>353546</v>
      </c>
      <c r="E31" s="20">
        <f t="shared" ref="E31" si="345">B31-C31-D31</f>
        <v>1768946.4000000022</v>
      </c>
      <c r="F31" s="20">
        <f>ROUND(E31*0.04,2)-0.02</f>
        <v>70757.84</v>
      </c>
      <c r="G31" s="20">
        <f t="shared" ref="G31" si="346">ROUND(E31*0,2)</f>
        <v>0</v>
      </c>
      <c r="H31" s="20">
        <f t="shared" ref="H31" si="347">E31-F31-G31</f>
        <v>1698188.5600000022</v>
      </c>
      <c r="I31" s="20">
        <f t="shared" ref="I31" si="348">ROUND(H31*0,2)</f>
        <v>0</v>
      </c>
      <c r="J31" s="20">
        <f t="shared" ref="J31" si="349">ROUND((I31*0.58)+((I31*0.42)*0.1),2)</f>
        <v>0</v>
      </c>
      <c r="K31" s="20">
        <f t="shared" ref="K31" si="350">ROUND((I31*0.42)*0.9,2)</f>
        <v>0</v>
      </c>
      <c r="L31" s="21">
        <f t="shared" ref="L31" si="351">IF(J31+K31=I31,H31-I31,"ERROR")</f>
        <v>1698188.5600000022</v>
      </c>
      <c r="M31" s="20">
        <f t="shared" ref="M31" si="352">ROUND(L31*0.465,2)</f>
        <v>789657.68</v>
      </c>
      <c r="N31" s="20">
        <f>ROUND(L31*0.3,2)-0.01</f>
        <v>509456.56</v>
      </c>
      <c r="O31" s="20">
        <f t="shared" ref="O31" si="353">ROUND(L31*0.1285,2)</f>
        <v>218217.23</v>
      </c>
      <c r="P31" s="20">
        <f t="shared" ref="P31" si="354">ROUND((L31*0.07)*0.9,2)</f>
        <v>106985.88</v>
      </c>
      <c r="Q31" s="20">
        <f t="shared" ref="Q31" si="355">ROUND(L31*0.01,2)</f>
        <v>16981.89</v>
      </c>
      <c r="R31" s="20">
        <f t="shared" ref="R31" si="356">ROUND((L31*0.0075)*0.9,2)</f>
        <v>11462.77</v>
      </c>
      <c r="S31" s="20">
        <f t="shared" ref="S31" si="357">ROUND((L31*0.0075)*0.9,2)</f>
        <v>11462.77</v>
      </c>
      <c r="T31" s="20">
        <f>ROUND(L31*0.01,2)-0.01</f>
        <v>16981.88</v>
      </c>
      <c r="U31" s="20">
        <f>ROUND(L31*0.01,2)+0.01</f>
        <v>16981.899999999998</v>
      </c>
      <c r="V31" s="22">
        <f t="shared" ref="V31" si="358">E31/W31</f>
        <v>1714.0953488372115</v>
      </c>
      <c r="W31" s="23">
        <v>1032</v>
      </c>
      <c r="X31" s="20"/>
      <c r="Y31" s="20"/>
      <c r="Z31" s="20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20"/>
      <c r="CG31" s="20"/>
      <c r="CH31" s="20"/>
      <c r="CI31" s="20"/>
      <c r="CJ31" s="20"/>
      <c r="CK31" s="20"/>
      <c r="CL31" s="20"/>
      <c r="CM31" s="20"/>
      <c r="CN31" s="20"/>
      <c r="CO31" s="20"/>
      <c r="CP31" s="20"/>
      <c r="CQ31" s="20"/>
      <c r="CR31" s="20"/>
    </row>
    <row r="32" spans="1:96" ht="15" customHeight="1" x14ac:dyDescent="0.25">
      <c r="A32" s="19">
        <f t="shared" si="28"/>
        <v>45661</v>
      </c>
      <c r="B32" s="20">
        <v>21016800.010000002</v>
      </c>
      <c r="C32" s="20">
        <v>18603252.129999999</v>
      </c>
      <c r="D32" s="20">
        <v>443756</v>
      </c>
      <c r="E32" s="20">
        <f t="shared" ref="E32" si="359">B32-C32-D32</f>
        <v>1969791.8800000027</v>
      </c>
      <c r="F32" s="20">
        <f>ROUND(E32*0.04,2)-0.02</f>
        <v>78791.659999999989</v>
      </c>
      <c r="G32" s="20">
        <f t="shared" ref="G32" si="360">ROUND(E32*0,2)</f>
        <v>0</v>
      </c>
      <c r="H32" s="20">
        <f t="shared" ref="H32" si="361">E32-F32-G32</f>
        <v>1891000.2200000028</v>
      </c>
      <c r="I32" s="20">
        <f t="shared" ref="I32" si="362">ROUND(H32*0,2)</f>
        <v>0</v>
      </c>
      <c r="J32" s="20">
        <f t="shared" ref="J32" si="363">ROUND((I32*0.58)+((I32*0.42)*0.1),2)</f>
        <v>0</v>
      </c>
      <c r="K32" s="20">
        <f t="shared" ref="K32" si="364">ROUND((I32*0.42)*0.9,2)</f>
        <v>0</v>
      </c>
      <c r="L32" s="21">
        <f t="shared" ref="L32" si="365">IF(J32+K32=I32,H32-I32,"ERROR")</f>
        <v>1891000.2200000028</v>
      </c>
      <c r="M32" s="20">
        <f t="shared" ref="M32" si="366">ROUND(L32*0.465,2)</f>
        <v>879315.1</v>
      </c>
      <c r="N32" s="20">
        <f>ROUND(L32*0.3,2)+0.01</f>
        <v>567300.07999999996</v>
      </c>
      <c r="O32" s="20">
        <f t="shared" ref="O32" si="367">ROUND(L32*0.1285,2)</f>
        <v>242993.53</v>
      </c>
      <c r="P32" s="20">
        <f t="shared" ref="P32" si="368">ROUND((L32*0.07)*0.9,2)</f>
        <v>119133.01</v>
      </c>
      <c r="Q32" s="20">
        <f t="shared" ref="Q32" si="369">ROUND(L32*0.01,2)</f>
        <v>18910</v>
      </c>
      <c r="R32" s="20">
        <f t="shared" ref="R32" si="370">ROUND((L32*0.0075)*0.9,2)</f>
        <v>12764.25</v>
      </c>
      <c r="S32" s="20">
        <f t="shared" ref="S32" si="371">ROUND((L32*0.0075)*0.9,2)</f>
        <v>12764.25</v>
      </c>
      <c r="T32" s="20">
        <f>ROUND(L32*0.01,2)</f>
        <v>18910</v>
      </c>
      <c r="U32" s="20">
        <f>ROUND(L32*0.01,2)</f>
        <v>18910</v>
      </c>
      <c r="V32" s="22">
        <f t="shared" ref="V32" si="372">E32/W32</f>
        <v>1901.3435135135162</v>
      </c>
      <c r="W32" s="23">
        <v>1036</v>
      </c>
      <c r="X32" s="20"/>
      <c r="Y32" s="20"/>
      <c r="Z32" s="20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20"/>
      <c r="AY32" s="20"/>
      <c r="AZ32" s="20"/>
      <c r="BA32" s="20"/>
      <c r="BB32" s="20"/>
      <c r="BC32" s="20"/>
      <c r="BD32" s="20"/>
      <c r="BE32" s="20"/>
      <c r="BF32" s="20"/>
      <c r="BG32" s="20"/>
      <c r="BH32" s="20"/>
      <c r="BI32" s="20"/>
      <c r="BJ32" s="20"/>
      <c r="BK32" s="20"/>
      <c r="BL32" s="20"/>
      <c r="BM32" s="20"/>
      <c r="BN32" s="20"/>
      <c r="BO32" s="20"/>
      <c r="BP32" s="20"/>
      <c r="BQ32" s="20"/>
      <c r="BR32" s="20"/>
      <c r="BS32" s="20"/>
      <c r="BT32" s="20"/>
      <c r="BU32" s="20"/>
      <c r="BV32" s="20"/>
      <c r="BW32" s="20"/>
      <c r="BX32" s="20"/>
      <c r="BY32" s="20"/>
      <c r="BZ32" s="20"/>
      <c r="CA32" s="20"/>
      <c r="CB32" s="20"/>
      <c r="CC32" s="20"/>
      <c r="CD32" s="20"/>
      <c r="CE32" s="20"/>
      <c r="CF32" s="20"/>
      <c r="CG32" s="20"/>
      <c r="CH32" s="20"/>
      <c r="CI32" s="20"/>
      <c r="CJ32" s="20"/>
      <c r="CK32" s="20"/>
      <c r="CL32" s="20"/>
      <c r="CM32" s="20"/>
      <c r="CN32" s="20"/>
      <c r="CO32" s="20"/>
      <c r="CP32" s="20"/>
      <c r="CQ32" s="20"/>
      <c r="CR32" s="20"/>
    </row>
    <row r="33" spans="1:96" ht="15" customHeight="1" x14ac:dyDescent="0.25">
      <c r="A33" s="19">
        <f t="shared" si="28"/>
        <v>45668</v>
      </c>
      <c r="B33" s="20">
        <v>10488450.27</v>
      </c>
      <c r="C33" s="20">
        <v>9329349.9100000001</v>
      </c>
      <c r="D33" s="20">
        <v>244317</v>
      </c>
      <c r="E33" s="20">
        <f t="shared" ref="E33" si="373">B33-C33-D33</f>
        <v>914783.3599999994</v>
      </c>
      <c r="F33" s="20">
        <f>ROUND(E33*0.04,2)+0.01</f>
        <v>36591.340000000004</v>
      </c>
      <c r="G33" s="20">
        <f t="shared" ref="G33" si="374">ROUND(E33*0,2)</f>
        <v>0</v>
      </c>
      <c r="H33" s="20">
        <f t="shared" ref="H33" si="375">E33-F33-G33</f>
        <v>878192.01999999944</v>
      </c>
      <c r="I33" s="20">
        <f t="shared" ref="I33" si="376">ROUND(H33*0,2)</f>
        <v>0</v>
      </c>
      <c r="J33" s="20">
        <f t="shared" ref="J33" si="377">ROUND((I33*0.58)+((I33*0.42)*0.1),2)</f>
        <v>0</v>
      </c>
      <c r="K33" s="20">
        <f t="shared" ref="K33" si="378">ROUND((I33*0.42)*0.9,2)</f>
        <v>0</v>
      </c>
      <c r="L33" s="21">
        <f t="shared" ref="L33" si="379">IF(J33+K33=I33,H33-I33,"ERROR")</f>
        <v>878192.01999999944</v>
      </c>
      <c r="M33" s="20">
        <f t="shared" ref="M33" si="380">ROUND(L33*0.465,2)</f>
        <v>408359.29</v>
      </c>
      <c r="N33" s="20">
        <f>ROUND(L33*0.3,2)-0.01</f>
        <v>263457.59999999998</v>
      </c>
      <c r="O33" s="20">
        <f t="shared" ref="O33" si="381">ROUND(L33*0.1285,2)</f>
        <v>112847.67</v>
      </c>
      <c r="P33" s="20">
        <f t="shared" ref="P33" si="382">ROUND((L33*0.07)*0.9,2)</f>
        <v>55326.1</v>
      </c>
      <c r="Q33" s="20">
        <f t="shared" ref="Q33" si="383">ROUND(L33*0.01,2)</f>
        <v>8781.92</v>
      </c>
      <c r="R33" s="20">
        <f t="shared" ref="R33" si="384">ROUND((L33*0.0075)*0.9,2)</f>
        <v>5927.8</v>
      </c>
      <c r="S33" s="20">
        <f t="shared" ref="S33" si="385">ROUND((L33*0.0075)*0.9,2)</f>
        <v>5927.8</v>
      </c>
      <c r="T33" s="20">
        <f>ROUND(L33*0.01,2)</f>
        <v>8781.92</v>
      </c>
      <c r="U33" s="20">
        <f>ROUND(L33*0.01,2)</f>
        <v>8781.92</v>
      </c>
      <c r="V33" s="22">
        <f t="shared" ref="V33" si="386">E33/W33</f>
        <v>921.23198388720982</v>
      </c>
      <c r="W33" s="23">
        <v>993</v>
      </c>
      <c r="X33" s="20"/>
      <c r="Y33" s="20"/>
      <c r="Z33" s="20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20"/>
      <c r="AY33" s="20"/>
      <c r="AZ33" s="20"/>
      <c r="BA33" s="20"/>
      <c r="BB33" s="20"/>
      <c r="BC33" s="20"/>
      <c r="BD33" s="20"/>
      <c r="BE33" s="20"/>
      <c r="BF33" s="20"/>
      <c r="BG33" s="20"/>
      <c r="BH33" s="20"/>
      <c r="BI33" s="20"/>
      <c r="BJ33" s="20"/>
      <c r="BK33" s="20"/>
      <c r="BL33" s="20"/>
      <c r="BM33" s="20"/>
      <c r="BN33" s="20"/>
      <c r="BO33" s="20"/>
      <c r="BP33" s="20"/>
      <c r="BQ33" s="20"/>
      <c r="BR33" s="20"/>
      <c r="BS33" s="20"/>
      <c r="BT33" s="20"/>
      <c r="BU33" s="20"/>
      <c r="BV33" s="20"/>
      <c r="BW33" s="20"/>
      <c r="BX33" s="20"/>
      <c r="BY33" s="20"/>
      <c r="BZ33" s="20"/>
      <c r="CA33" s="20"/>
      <c r="CB33" s="20"/>
      <c r="CC33" s="20"/>
      <c r="CD33" s="20"/>
      <c r="CE33" s="20"/>
      <c r="CF33" s="20"/>
      <c r="CG33" s="20"/>
      <c r="CH33" s="20"/>
      <c r="CI33" s="20"/>
      <c r="CJ33" s="20"/>
      <c r="CK33" s="20"/>
      <c r="CL33" s="20"/>
      <c r="CM33" s="20"/>
      <c r="CN33" s="20"/>
      <c r="CO33" s="20"/>
      <c r="CP33" s="20"/>
      <c r="CQ33" s="20"/>
      <c r="CR33" s="20"/>
    </row>
    <row r="34" spans="1:96" ht="15" customHeight="1" x14ac:dyDescent="0.25">
      <c r="A34" s="19">
        <f t="shared" si="28"/>
        <v>45675</v>
      </c>
      <c r="B34" s="20">
        <v>13331573.91</v>
      </c>
      <c r="C34" s="20">
        <v>11939449.67</v>
      </c>
      <c r="D34" s="20">
        <v>271457</v>
      </c>
      <c r="E34" s="20">
        <f t="shared" ref="E34" si="387">B34-C34-D34</f>
        <v>1120667.2400000002</v>
      </c>
      <c r="F34" s="20">
        <f>ROUND(E34*0.04,2)</f>
        <v>44826.69</v>
      </c>
      <c r="G34" s="20">
        <f t="shared" ref="G34" si="388">ROUND(E34*0,2)</f>
        <v>0</v>
      </c>
      <c r="H34" s="20">
        <f t="shared" ref="H34" si="389">E34-F34-G34</f>
        <v>1075840.5500000003</v>
      </c>
      <c r="I34" s="20">
        <f t="shared" ref="I34" si="390">ROUND(H34*0,2)</f>
        <v>0</v>
      </c>
      <c r="J34" s="20">
        <f t="shared" ref="J34" si="391">ROUND((I34*0.58)+((I34*0.42)*0.1),2)</f>
        <v>0</v>
      </c>
      <c r="K34" s="20">
        <f t="shared" ref="K34" si="392">ROUND((I34*0.42)*0.9,2)</f>
        <v>0</v>
      </c>
      <c r="L34" s="21">
        <f t="shared" ref="L34" si="393">IF(J34+K34=I34,H34-I34,"ERROR")</f>
        <v>1075840.5500000003</v>
      </c>
      <c r="M34" s="20">
        <f t="shared" ref="M34" si="394">ROUND(L34*0.465,2)</f>
        <v>500265.86</v>
      </c>
      <c r="N34" s="20">
        <f>ROUND(L34*0.3,2)-0.01</f>
        <v>322752.15999999997</v>
      </c>
      <c r="O34" s="20">
        <f t="shared" ref="O34" si="395">ROUND(L34*0.1285,2)</f>
        <v>138245.51</v>
      </c>
      <c r="P34" s="20">
        <f t="shared" ref="P34" si="396">ROUND((L34*0.07)*0.9,2)</f>
        <v>67777.95</v>
      </c>
      <c r="Q34" s="20">
        <f t="shared" ref="Q34" si="397">ROUND(L34*0.01,2)</f>
        <v>10758.41</v>
      </c>
      <c r="R34" s="20">
        <f t="shared" ref="R34" si="398">ROUND((L34*0.0075)*0.9,2)</f>
        <v>7261.92</v>
      </c>
      <c r="S34" s="20">
        <f t="shared" ref="S34" si="399">ROUND((L34*0.0075)*0.9,2)</f>
        <v>7261.92</v>
      </c>
      <c r="T34" s="20">
        <f>ROUND(L34*0.01,2)+0.01</f>
        <v>10758.42</v>
      </c>
      <c r="U34" s="20">
        <f>ROUND(L34*0.01,2)-0.01</f>
        <v>10758.4</v>
      </c>
      <c r="V34" s="22">
        <f t="shared" ref="V34" si="400">E34/W34</f>
        <v>1130.8448435923312</v>
      </c>
      <c r="W34" s="23">
        <v>991</v>
      </c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20"/>
      <c r="CG34" s="20"/>
      <c r="CH34" s="20"/>
      <c r="CI34" s="20"/>
      <c r="CJ34" s="20"/>
      <c r="CK34" s="20"/>
      <c r="CL34" s="20"/>
      <c r="CM34" s="20"/>
      <c r="CN34" s="20"/>
      <c r="CO34" s="20"/>
      <c r="CP34" s="20"/>
      <c r="CQ34" s="20"/>
      <c r="CR34" s="20"/>
    </row>
    <row r="35" spans="1:96" ht="15" customHeight="1" x14ac:dyDescent="0.25">
      <c r="A35" s="19">
        <f t="shared" si="28"/>
        <v>45682</v>
      </c>
      <c r="B35" s="20">
        <v>15888769.77</v>
      </c>
      <c r="C35" s="20">
        <v>14173838.32</v>
      </c>
      <c r="D35" s="20">
        <v>332280</v>
      </c>
      <c r="E35" s="20">
        <f t="shared" ref="E35" si="401">B35-C35-D35</f>
        <v>1382651.4499999993</v>
      </c>
      <c r="F35" s="20">
        <f>ROUND(E35*0.04,2)</f>
        <v>55306.06</v>
      </c>
      <c r="G35" s="20">
        <f t="shared" ref="G35" si="402">ROUND(E35*0,2)</f>
        <v>0</v>
      </c>
      <c r="H35" s="20">
        <f t="shared" ref="H35" si="403">E35-F35-G35</f>
        <v>1327345.3899999992</v>
      </c>
      <c r="I35" s="20">
        <f t="shared" ref="I35" si="404">ROUND(H35*0,2)</f>
        <v>0</v>
      </c>
      <c r="J35" s="20">
        <f t="shared" ref="J35" si="405">ROUND((I35*0.58)+((I35*0.42)*0.1),2)</f>
        <v>0</v>
      </c>
      <c r="K35" s="20">
        <f t="shared" ref="K35" si="406">ROUND((I35*0.42)*0.9,2)</f>
        <v>0</v>
      </c>
      <c r="L35" s="21">
        <f t="shared" ref="L35" si="407">IF(J35+K35=I35,H35-I35,"ERROR")</f>
        <v>1327345.3899999992</v>
      </c>
      <c r="M35" s="20">
        <f t="shared" ref="M35" si="408">ROUND(L35*0.465,2)</f>
        <v>617215.61</v>
      </c>
      <c r="N35" s="20">
        <f>ROUND(L35*0.3,2)+0.01</f>
        <v>398203.63</v>
      </c>
      <c r="O35" s="20">
        <f t="shared" ref="O35" si="409">ROUND(L35*0.1285,2)</f>
        <v>170563.88</v>
      </c>
      <c r="P35" s="20">
        <f t="shared" ref="P35" si="410">ROUND((L35*0.07)*0.9,2)</f>
        <v>83622.759999999995</v>
      </c>
      <c r="Q35" s="20">
        <f t="shared" ref="Q35" si="411">ROUND(L35*0.01,2)</f>
        <v>13273.45</v>
      </c>
      <c r="R35" s="20">
        <f t="shared" ref="R35" si="412">ROUND((L35*0.0075)*0.9,2)</f>
        <v>8959.58</v>
      </c>
      <c r="S35" s="20">
        <f t="shared" ref="S35" si="413">ROUND((L35*0.0075)*0.9,2)</f>
        <v>8959.58</v>
      </c>
      <c r="T35" s="20">
        <f>ROUND(L35*0.01,2)+0.01</f>
        <v>13273.460000000001</v>
      </c>
      <c r="U35" s="20">
        <f>ROUND(L35*0.01,2)-0.01</f>
        <v>13273.44</v>
      </c>
      <c r="V35" s="22">
        <f t="shared" ref="V35" si="414">E35/W35</f>
        <v>1360.877411417322</v>
      </c>
      <c r="W35" s="23">
        <v>1016</v>
      </c>
      <c r="X35" s="20"/>
      <c r="Y35" s="20"/>
      <c r="Z35" s="20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20"/>
      <c r="CG35" s="20"/>
      <c r="CH35" s="20"/>
      <c r="CI35" s="20"/>
      <c r="CJ35" s="20"/>
      <c r="CK35" s="20"/>
      <c r="CL35" s="20"/>
      <c r="CM35" s="20"/>
      <c r="CN35" s="20"/>
      <c r="CO35" s="20"/>
      <c r="CP35" s="20"/>
      <c r="CQ35" s="20"/>
      <c r="CR35" s="20"/>
    </row>
    <row r="36" spans="1:96" ht="15" customHeight="1" x14ac:dyDescent="0.25">
      <c r="A36" s="19">
        <f t="shared" si="28"/>
        <v>45689</v>
      </c>
      <c r="B36" s="20">
        <v>15894462.66</v>
      </c>
      <c r="C36" s="20">
        <v>14154810.690000001</v>
      </c>
      <c r="D36" s="20">
        <v>354199</v>
      </c>
      <c r="E36" s="20">
        <f t="shared" ref="E36" si="415">B36-C36-D36</f>
        <v>1385452.9699999988</v>
      </c>
      <c r="F36" s="20">
        <f>ROUND(E36*0.04,2)</f>
        <v>55418.12</v>
      </c>
      <c r="G36" s="20">
        <f t="shared" ref="G36" si="416">ROUND(E36*0,2)</f>
        <v>0</v>
      </c>
      <c r="H36" s="20">
        <f t="shared" ref="H36" si="417">E36-F36-G36</f>
        <v>1330034.8499999987</v>
      </c>
      <c r="I36" s="20">
        <f t="shared" ref="I36" si="418">ROUND(H36*0,2)</f>
        <v>0</v>
      </c>
      <c r="J36" s="20">
        <f t="shared" ref="J36" si="419">ROUND((I36*0.58)+((I36*0.42)*0.1),2)</f>
        <v>0</v>
      </c>
      <c r="K36" s="20">
        <f t="shared" ref="K36" si="420">ROUND((I36*0.42)*0.9,2)</f>
        <v>0</v>
      </c>
      <c r="L36" s="21">
        <f t="shared" ref="L36" si="421">IF(J36+K36=I36,H36-I36,"ERROR")</f>
        <v>1330034.8499999987</v>
      </c>
      <c r="M36" s="20">
        <f t="shared" ref="M36" si="422">ROUND(L36*0.465,2)</f>
        <v>618466.21</v>
      </c>
      <c r="N36" s="20">
        <f>ROUND(L36*0.3,2)-0.03</f>
        <v>399010.43</v>
      </c>
      <c r="O36" s="20">
        <f t="shared" ref="O36" si="423">ROUND(L36*0.1285,2)</f>
        <v>170909.48</v>
      </c>
      <c r="P36" s="20">
        <f t="shared" ref="P36" si="424">ROUND((L36*0.07)*0.9,2)</f>
        <v>83792.2</v>
      </c>
      <c r="Q36" s="20">
        <f t="shared" ref="Q36" si="425">ROUND(L36*0.01,2)</f>
        <v>13300.35</v>
      </c>
      <c r="R36" s="20">
        <f t="shared" ref="R36" si="426">ROUND((L36*0.0075)*0.9,2)</f>
        <v>8977.74</v>
      </c>
      <c r="S36" s="20">
        <f t="shared" ref="S36" si="427">ROUND((L36*0.0075)*0.9,2)</f>
        <v>8977.74</v>
      </c>
      <c r="T36" s="20">
        <f>ROUND(L36*0.01,2)-0.01</f>
        <v>13300.34</v>
      </c>
      <c r="U36" s="20">
        <f>ROUND(L36*0.01,2)+0.01</f>
        <v>13300.36</v>
      </c>
      <c r="V36" s="22">
        <f t="shared" ref="V36" si="428">E36/W36</f>
        <v>1351.6614341463403</v>
      </c>
      <c r="W36" s="23">
        <v>1025</v>
      </c>
      <c r="X36" s="20"/>
      <c r="Y36" s="20"/>
      <c r="Z36" s="20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20"/>
      <c r="AY36" s="20"/>
      <c r="AZ36" s="20"/>
      <c r="BA36" s="20"/>
      <c r="BB36" s="20"/>
      <c r="BC36" s="20"/>
      <c r="BD36" s="20"/>
      <c r="BE36" s="20"/>
      <c r="BF36" s="20"/>
      <c r="BG36" s="20"/>
      <c r="BH36" s="20"/>
      <c r="BI36" s="20"/>
      <c r="BJ36" s="20"/>
      <c r="BK36" s="20"/>
      <c r="BL36" s="20"/>
      <c r="BM36" s="20"/>
      <c r="BN36" s="20"/>
      <c r="BO36" s="20"/>
      <c r="BP36" s="20"/>
      <c r="BQ36" s="20"/>
      <c r="BR36" s="20"/>
      <c r="BS36" s="20"/>
      <c r="BT36" s="20"/>
      <c r="BU36" s="20"/>
      <c r="BV36" s="20"/>
      <c r="BW36" s="20"/>
      <c r="BX36" s="20"/>
      <c r="BY36" s="20"/>
      <c r="BZ36" s="20"/>
      <c r="CA36" s="20"/>
      <c r="CB36" s="20"/>
      <c r="CC36" s="20"/>
      <c r="CD36" s="20"/>
      <c r="CE36" s="20"/>
      <c r="CF36" s="20"/>
      <c r="CG36" s="20"/>
      <c r="CH36" s="20"/>
      <c r="CI36" s="20"/>
      <c r="CJ36" s="20"/>
      <c r="CK36" s="20"/>
      <c r="CL36" s="20"/>
      <c r="CM36" s="20"/>
      <c r="CN36" s="20"/>
      <c r="CO36" s="20"/>
      <c r="CP36" s="20"/>
      <c r="CQ36" s="20"/>
      <c r="CR36" s="20"/>
    </row>
    <row r="37" spans="1:96" ht="15" customHeight="1" x14ac:dyDescent="0.25">
      <c r="A37" s="19">
        <f t="shared" si="28"/>
        <v>45696</v>
      </c>
      <c r="B37" s="20">
        <v>15827839.210000001</v>
      </c>
      <c r="C37" s="20">
        <v>14050499.869999999</v>
      </c>
      <c r="D37" s="20">
        <v>324690</v>
      </c>
      <c r="E37" s="20">
        <f t="shared" ref="E37" si="429">B37-C37-D37</f>
        <v>1452649.3400000017</v>
      </c>
      <c r="F37" s="20">
        <f>ROUND(E37*0.04,2)+0.01</f>
        <v>58105.98</v>
      </c>
      <c r="G37" s="20">
        <f t="shared" ref="G37" si="430">ROUND(E37*0,2)</f>
        <v>0</v>
      </c>
      <c r="H37" s="20">
        <f t="shared" ref="H37" si="431">E37-F37-G37</f>
        <v>1394543.3600000017</v>
      </c>
      <c r="I37" s="20">
        <f t="shared" ref="I37" si="432">ROUND(H37*0,2)</f>
        <v>0</v>
      </c>
      <c r="J37" s="20">
        <f t="shared" ref="J37" si="433">ROUND((I37*0.58)+((I37*0.42)*0.1),2)</f>
        <v>0</v>
      </c>
      <c r="K37" s="20">
        <f t="shared" ref="K37" si="434">ROUND((I37*0.42)*0.9,2)</f>
        <v>0</v>
      </c>
      <c r="L37" s="21">
        <f t="shared" ref="L37" si="435">IF(J37+K37=I37,H37-I37,"ERROR")</f>
        <v>1394543.3600000017</v>
      </c>
      <c r="M37" s="20">
        <f t="shared" ref="M37" si="436">ROUND(L37*0.465,2)</f>
        <v>648462.66</v>
      </c>
      <c r="N37" s="20">
        <f>ROUND(L37*0.3,2)+0.01</f>
        <v>418363.02</v>
      </c>
      <c r="O37" s="20">
        <f t="shared" ref="O37" si="437">ROUND(L37*0.1285,2)</f>
        <v>179198.82</v>
      </c>
      <c r="P37" s="20">
        <f t="shared" ref="P37" si="438">ROUND((L37*0.07)*0.9,2)</f>
        <v>87856.23</v>
      </c>
      <c r="Q37" s="20">
        <f t="shared" ref="Q37" si="439">ROUND(L37*0.01,2)</f>
        <v>13945.43</v>
      </c>
      <c r="R37" s="20">
        <f t="shared" ref="R37" si="440">ROUND((L37*0.0075)*0.9,2)</f>
        <v>9413.17</v>
      </c>
      <c r="S37" s="20">
        <f t="shared" ref="S37" si="441">ROUND((L37*0.0075)*0.9,2)</f>
        <v>9413.17</v>
      </c>
      <c r="T37" s="20">
        <f>ROUND(L37*0.01,2)+0.01</f>
        <v>13945.44</v>
      </c>
      <c r="U37" s="20">
        <f>ROUND(L37*0.01,2)-0.01</f>
        <v>13945.42</v>
      </c>
      <c r="V37" s="22">
        <f t="shared" ref="V37" si="442">E37/W37</f>
        <v>1411.7097570456772</v>
      </c>
      <c r="W37" s="23">
        <v>1029</v>
      </c>
      <c r="X37" s="20"/>
      <c r="Y37" s="20"/>
      <c r="Z37" s="20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20"/>
      <c r="AY37" s="20"/>
      <c r="AZ37" s="20"/>
      <c r="BA37" s="20"/>
      <c r="BB37" s="20"/>
      <c r="BC37" s="20"/>
      <c r="BD37" s="20"/>
      <c r="BE37" s="20"/>
      <c r="BF37" s="20"/>
      <c r="BG37" s="20"/>
      <c r="BH37" s="20"/>
      <c r="BI37" s="20"/>
      <c r="BJ37" s="20"/>
      <c r="BK37" s="20"/>
      <c r="BL37" s="20"/>
      <c r="BM37" s="20"/>
      <c r="BN37" s="20"/>
      <c r="BO37" s="20"/>
      <c r="BP37" s="20"/>
      <c r="BQ37" s="20"/>
      <c r="BR37" s="20"/>
      <c r="BS37" s="20"/>
      <c r="BT37" s="20"/>
      <c r="BU37" s="20"/>
      <c r="BV37" s="20"/>
      <c r="BW37" s="20"/>
      <c r="BX37" s="20"/>
      <c r="BY37" s="20"/>
      <c r="BZ37" s="20"/>
      <c r="CA37" s="20"/>
      <c r="CB37" s="20"/>
      <c r="CC37" s="20"/>
      <c r="CD37" s="20"/>
      <c r="CE37" s="20"/>
      <c r="CF37" s="20"/>
      <c r="CG37" s="20"/>
      <c r="CH37" s="20"/>
      <c r="CI37" s="20"/>
      <c r="CJ37" s="20"/>
      <c r="CK37" s="20"/>
      <c r="CL37" s="20"/>
      <c r="CM37" s="20"/>
      <c r="CN37" s="20"/>
      <c r="CO37" s="20"/>
      <c r="CP37" s="20"/>
      <c r="CQ37" s="20"/>
      <c r="CR37" s="20"/>
    </row>
    <row r="38" spans="1:96" ht="15" customHeight="1" x14ac:dyDescent="0.25">
      <c r="A38" s="19">
        <f t="shared" si="28"/>
        <v>45703</v>
      </c>
      <c r="B38" s="20">
        <v>15153543.27</v>
      </c>
      <c r="C38" s="20">
        <v>13554592.609999999</v>
      </c>
      <c r="D38" s="20">
        <v>298443</v>
      </c>
      <c r="E38" s="20">
        <f t="shared" ref="E38" si="443">B38-C38-D38</f>
        <v>1300507.6600000001</v>
      </c>
      <c r="F38" s="20">
        <f>ROUND(E38*0.04,2)-0.01</f>
        <v>52020.299999999996</v>
      </c>
      <c r="G38" s="20">
        <f t="shared" ref="G38" si="444">ROUND(E38*0,2)</f>
        <v>0</v>
      </c>
      <c r="H38" s="20">
        <f t="shared" ref="H38" si="445">E38-F38-G38</f>
        <v>1248487.3600000001</v>
      </c>
      <c r="I38" s="20">
        <f t="shared" ref="I38" si="446">ROUND(H38*0,2)</f>
        <v>0</v>
      </c>
      <c r="J38" s="20">
        <f t="shared" ref="J38" si="447">ROUND((I38*0.58)+((I38*0.42)*0.1),2)</f>
        <v>0</v>
      </c>
      <c r="K38" s="20">
        <f t="shared" ref="K38" si="448">ROUND((I38*0.42)*0.9,2)</f>
        <v>0</v>
      </c>
      <c r="L38" s="21">
        <f t="shared" ref="L38" si="449">IF(J38+K38=I38,H38-I38,"ERROR")</f>
        <v>1248487.3600000001</v>
      </c>
      <c r="M38" s="20">
        <f t="shared" ref="M38" si="450">ROUND(L38*0.465,2)</f>
        <v>580546.62</v>
      </c>
      <c r="N38" s="20">
        <f>ROUND(L38*0.3,2)+0.01</f>
        <v>374546.22000000003</v>
      </c>
      <c r="O38" s="20">
        <f t="shared" ref="O38" si="451">ROUND(L38*0.1285,2)</f>
        <v>160430.63</v>
      </c>
      <c r="P38" s="20">
        <f t="shared" ref="P38" si="452">ROUND((L38*0.07)*0.9,2)</f>
        <v>78654.7</v>
      </c>
      <c r="Q38" s="20">
        <f t="shared" ref="Q38" si="453">ROUND(L38*0.01,2)</f>
        <v>12484.87</v>
      </c>
      <c r="R38" s="20">
        <f t="shared" ref="R38" si="454">ROUND((L38*0.0075)*0.9,2)</f>
        <v>8427.2900000000009</v>
      </c>
      <c r="S38" s="20">
        <f t="shared" ref="S38" si="455">ROUND((L38*0.0075)*0.9,2)</f>
        <v>8427.2900000000009</v>
      </c>
      <c r="T38" s="20">
        <f>ROUND(L38*0.01,2)-0.01</f>
        <v>12484.86</v>
      </c>
      <c r="U38" s="20">
        <f>ROUND(L38*0.01,2)+0.01</f>
        <v>12484.880000000001</v>
      </c>
      <c r="V38" s="22">
        <f t="shared" ref="V38" si="456">E38/W38</f>
        <v>1387.9484098185701</v>
      </c>
      <c r="W38" s="23">
        <v>937</v>
      </c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20"/>
      <c r="CG38" s="20"/>
      <c r="CH38" s="20"/>
      <c r="CI38" s="20"/>
      <c r="CJ38" s="20"/>
      <c r="CK38" s="20"/>
      <c r="CL38" s="20"/>
      <c r="CM38" s="20"/>
      <c r="CN38" s="20"/>
      <c r="CO38" s="20"/>
      <c r="CP38" s="20"/>
      <c r="CQ38" s="20"/>
      <c r="CR38" s="20"/>
    </row>
    <row r="39" spans="1:96" ht="15" customHeight="1" x14ac:dyDescent="0.25">
      <c r="A39" s="19">
        <f t="shared" si="28"/>
        <v>45710</v>
      </c>
      <c r="B39" s="20">
        <v>16317259.040000001</v>
      </c>
      <c r="C39" s="20">
        <v>14568033.189999999</v>
      </c>
      <c r="D39" s="20">
        <v>358282</v>
      </c>
      <c r="E39" s="20">
        <f t="shared" ref="E39" si="457">B39-C39-D39</f>
        <v>1390943.8500000015</v>
      </c>
      <c r="F39" s="20">
        <f>ROUND(E39*0.04,2)-0.01</f>
        <v>55637.74</v>
      </c>
      <c r="G39" s="20">
        <f t="shared" ref="G39" si="458">ROUND(E39*0,2)</f>
        <v>0</v>
      </c>
      <c r="H39" s="20">
        <f t="shared" ref="H39" si="459">E39-F39-G39</f>
        <v>1335306.1100000015</v>
      </c>
      <c r="I39" s="20">
        <f t="shared" ref="I39" si="460">ROUND(H39*0,2)</f>
        <v>0</v>
      </c>
      <c r="J39" s="20">
        <f t="shared" ref="J39" si="461">ROUND((I39*0.58)+((I39*0.42)*0.1),2)</f>
        <v>0</v>
      </c>
      <c r="K39" s="20">
        <f t="shared" ref="K39" si="462">ROUND((I39*0.42)*0.9,2)</f>
        <v>0</v>
      </c>
      <c r="L39" s="21">
        <f t="shared" ref="L39" si="463">IF(J39+K39=I39,H39-I39,"ERROR")</f>
        <v>1335306.1100000015</v>
      </c>
      <c r="M39" s="20">
        <f t="shared" ref="M39" si="464">ROUND(L39*0.465,2)</f>
        <v>620917.34</v>
      </c>
      <c r="N39" s="20">
        <f>ROUND(L39*0.3,2)</f>
        <v>400591.83</v>
      </c>
      <c r="O39" s="20">
        <f t="shared" ref="O39" si="465">ROUND(L39*0.1285,2)</f>
        <v>171586.84</v>
      </c>
      <c r="P39" s="20">
        <f t="shared" ref="P39" si="466">ROUND((L39*0.07)*0.9,2)</f>
        <v>84124.28</v>
      </c>
      <c r="Q39" s="20">
        <f t="shared" ref="Q39" si="467">ROUND(L39*0.01,2)</f>
        <v>13353.06</v>
      </c>
      <c r="R39" s="20">
        <f t="shared" ref="R39" si="468">ROUND((L39*0.0075)*0.9,2)</f>
        <v>9013.32</v>
      </c>
      <c r="S39" s="20">
        <f t="shared" ref="S39" si="469">ROUND((L39*0.0075)*0.9,2)</f>
        <v>9013.32</v>
      </c>
      <c r="T39" s="20">
        <f>ROUND(L39*0.01,2)</f>
        <v>13353.06</v>
      </c>
      <c r="U39" s="20">
        <f>ROUND(L39*0.01,2)</f>
        <v>13353.06</v>
      </c>
      <c r="V39" s="22">
        <f t="shared" ref="V39" si="470">E39/W39</f>
        <v>1481.3033546325894</v>
      </c>
      <c r="W39" s="23">
        <v>939</v>
      </c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20"/>
      <c r="CG39" s="20"/>
      <c r="CH39" s="20"/>
      <c r="CI39" s="20"/>
      <c r="CJ39" s="20"/>
      <c r="CK39" s="20"/>
      <c r="CL39" s="20"/>
      <c r="CM39" s="20"/>
      <c r="CN39" s="20"/>
      <c r="CO39" s="20"/>
      <c r="CP39" s="20"/>
      <c r="CQ39" s="20"/>
      <c r="CR39" s="20"/>
    </row>
    <row r="40" spans="1:96" ht="15" customHeight="1" x14ac:dyDescent="0.25">
      <c r="A40" s="19">
        <f t="shared" si="28"/>
        <v>45717</v>
      </c>
      <c r="B40" s="20">
        <v>17943876.589999996</v>
      </c>
      <c r="C40" s="20">
        <v>15967691.34</v>
      </c>
      <c r="D40" s="20">
        <v>517148</v>
      </c>
      <c r="E40" s="20">
        <f t="shared" ref="E40" si="471">B40-C40-D40</f>
        <v>1459037.2499999963</v>
      </c>
      <c r="F40" s="20">
        <f>ROUND(E40*0.04,2)</f>
        <v>58361.49</v>
      </c>
      <c r="G40" s="20">
        <f t="shared" ref="G40" si="472">ROUND(E40*0,2)</f>
        <v>0</v>
      </c>
      <c r="H40" s="20">
        <f t="shared" ref="H40" si="473">E40-F40-G40</f>
        <v>1400675.7599999963</v>
      </c>
      <c r="I40" s="20">
        <f t="shared" ref="I40" si="474">ROUND(H40*0,2)</f>
        <v>0</v>
      </c>
      <c r="J40" s="20">
        <f t="shared" ref="J40" si="475">ROUND((I40*0.58)+((I40*0.42)*0.1),2)</f>
        <v>0</v>
      </c>
      <c r="K40" s="20">
        <f t="shared" ref="K40" si="476">ROUND((I40*0.42)*0.9,2)</f>
        <v>0</v>
      </c>
      <c r="L40" s="21">
        <f t="shared" ref="L40" si="477">IF(J40+K40=I40,H40-I40,"ERROR")</f>
        <v>1400675.7599999963</v>
      </c>
      <c r="M40" s="20">
        <f t="shared" ref="M40" si="478">ROUND(L40*0.465,2)</f>
        <v>651314.23</v>
      </c>
      <c r="N40" s="20">
        <f>ROUND(L40*0.3,2)-0.01</f>
        <v>420202.72</v>
      </c>
      <c r="O40" s="20">
        <f t="shared" ref="O40" si="479">ROUND(L40*0.1285,2)</f>
        <v>179986.84</v>
      </c>
      <c r="P40" s="20">
        <f t="shared" ref="P40" si="480">ROUND((L40*0.07)*0.9,2)</f>
        <v>88242.57</v>
      </c>
      <c r="Q40" s="20">
        <f t="shared" ref="Q40" si="481">ROUND(L40*0.01,2)</f>
        <v>14006.76</v>
      </c>
      <c r="R40" s="20">
        <f t="shared" ref="R40" si="482">ROUND((L40*0.0075)*0.9,2)</f>
        <v>9454.56</v>
      </c>
      <c r="S40" s="20">
        <f t="shared" ref="S40" si="483">ROUND((L40*0.0075)*0.9,2)</f>
        <v>9454.56</v>
      </c>
      <c r="T40" s="20">
        <f>ROUND(L40*0.01,2)</f>
        <v>14006.76</v>
      </c>
      <c r="U40" s="20">
        <f>ROUND(L40*0.01,2)</f>
        <v>14006.76</v>
      </c>
      <c r="V40" s="22">
        <f t="shared" ref="V40" si="484">E40/W40</f>
        <v>1496.4484615384577</v>
      </c>
      <c r="W40" s="23">
        <v>975</v>
      </c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20"/>
      <c r="AS40" s="20"/>
      <c r="AT40" s="20"/>
      <c r="AU40" s="20"/>
      <c r="AV40" s="20"/>
      <c r="AW40" s="20"/>
      <c r="AX40" s="20"/>
      <c r="AY40" s="20"/>
      <c r="AZ40" s="20"/>
      <c r="BA40" s="20"/>
      <c r="BB40" s="20"/>
      <c r="BC40" s="20"/>
      <c r="BD40" s="20"/>
      <c r="BE40" s="20"/>
      <c r="BF40" s="20"/>
      <c r="BG40" s="20"/>
      <c r="BH40" s="20"/>
      <c r="BI40" s="20"/>
      <c r="BJ40" s="20"/>
      <c r="BK40" s="20"/>
      <c r="BL40" s="20"/>
      <c r="BM40" s="20"/>
      <c r="BN40" s="20"/>
      <c r="BO40" s="20"/>
      <c r="BP40" s="20"/>
      <c r="BQ40" s="20"/>
      <c r="BR40" s="20"/>
      <c r="BS40" s="20"/>
      <c r="BT40" s="20"/>
      <c r="BU40" s="20"/>
      <c r="BV40" s="20"/>
      <c r="BW40" s="20"/>
      <c r="BX40" s="20"/>
      <c r="BY40" s="20"/>
      <c r="BZ40" s="20"/>
      <c r="CA40" s="20"/>
      <c r="CB40" s="20"/>
      <c r="CC40" s="20"/>
      <c r="CD40" s="20"/>
      <c r="CE40" s="20"/>
      <c r="CF40" s="20"/>
      <c r="CG40" s="20"/>
      <c r="CH40" s="20"/>
      <c r="CI40" s="20"/>
      <c r="CJ40" s="20"/>
      <c r="CK40" s="20"/>
      <c r="CL40" s="20"/>
      <c r="CM40" s="20"/>
      <c r="CN40" s="20"/>
      <c r="CO40" s="20"/>
      <c r="CP40" s="20"/>
      <c r="CQ40" s="20"/>
      <c r="CR40" s="20"/>
    </row>
    <row r="41" spans="1:96" ht="15" customHeight="1" x14ac:dyDescent="0.25">
      <c r="A41" s="19">
        <f t="shared" si="28"/>
        <v>45724</v>
      </c>
      <c r="B41" s="20">
        <v>17574759.579999998</v>
      </c>
      <c r="C41" s="20">
        <v>15601639.389999999</v>
      </c>
      <c r="D41" s="20">
        <v>359417</v>
      </c>
      <c r="E41" s="20">
        <f t="shared" ref="E41" si="485">B41-C41-D41</f>
        <v>1613703.1899999995</v>
      </c>
      <c r="F41" s="20">
        <f>ROUND(E41*0.04,2)</f>
        <v>64548.13</v>
      </c>
      <c r="G41" s="20">
        <f t="shared" ref="G41" si="486">ROUND(E41*0,2)</f>
        <v>0</v>
      </c>
      <c r="H41" s="20">
        <f t="shared" ref="H41" si="487">E41-F41-G41</f>
        <v>1549155.0599999996</v>
      </c>
      <c r="I41" s="20">
        <f t="shared" ref="I41" si="488">ROUND(H41*0,2)</f>
        <v>0</v>
      </c>
      <c r="J41" s="20">
        <f t="shared" ref="J41" si="489">ROUND((I41*0.58)+((I41*0.42)*0.1),2)</f>
        <v>0</v>
      </c>
      <c r="K41" s="20">
        <f t="shared" ref="K41" si="490">ROUND((I41*0.42)*0.9,2)</f>
        <v>0</v>
      </c>
      <c r="L41" s="21">
        <f t="shared" ref="L41" si="491">IF(J41+K41=I41,H41-I41,"ERROR")</f>
        <v>1549155.0599999996</v>
      </c>
      <c r="M41" s="20">
        <f t="shared" ref="M41" si="492">ROUND(L41*0.465,2)</f>
        <v>720357.1</v>
      </c>
      <c r="N41" s="20">
        <f>ROUND(L41*0.3,2)-0.01</f>
        <v>464746.51</v>
      </c>
      <c r="O41" s="20">
        <f t="shared" ref="O41" si="493">ROUND(L41*0.1285,2)</f>
        <v>199066.43</v>
      </c>
      <c r="P41" s="20">
        <f t="shared" ref="P41" si="494">ROUND((L41*0.07)*0.9,2)</f>
        <v>97596.77</v>
      </c>
      <c r="Q41" s="20">
        <f t="shared" ref="Q41" si="495">ROUND(L41*0.01,2)</f>
        <v>15491.55</v>
      </c>
      <c r="R41" s="20">
        <f t="shared" ref="R41" si="496">ROUND((L41*0.0075)*0.9,2)</f>
        <v>10456.799999999999</v>
      </c>
      <c r="S41" s="20">
        <f t="shared" ref="S41" si="497">ROUND((L41*0.0075)*0.9,2)</f>
        <v>10456.799999999999</v>
      </c>
      <c r="T41" s="20">
        <f>ROUND(L41*0.01,2)+0.01</f>
        <v>15491.56</v>
      </c>
      <c r="U41" s="20">
        <f>ROUND(L41*0.01,2)-0.01</f>
        <v>15491.539999999999</v>
      </c>
      <c r="V41" s="22">
        <f t="shared" ref="V41" si="498">E41/W41</f>
        <v>1625.0787411883177</v>
      </c>
      <c r="W41" s="23">
        <v>993</v>
      </c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20"/>
      <c r="AS41" s="20"/>
      <c r="AT41" s="20"/>
      <c r="AU41" s="20"/>
      <c r="AV41" s="20"/>
      <c r="AW41" s="20"/>
      <c r="AX41" s="20"/>
      <c r="AY41" s="20"/>
      <c r="AZ41" s="20"/>
      <c r="BA41" s="20"/>
      <c r="BB41" s="20"/>
      <c r="BC41" s="20"/>
      <c r="BD41" s="20"/>
      <c r="BE41" s="20"/>
      <c r="BF41" s="20"/>
      <c r="BG41" s="20"/>
      <c r="BH41" s="20"/>
      <c r="BI41" s="20"/>
      <c r="BJ41" s="20"/>
      <c r="BK41" s="20"/>
      <c r="BL41" s="20"/>
      <c r="BM41" s="20"/>
      <c r="BN41" s="20"/>
      <c r="BO41" s="20"/>
      <c r="BP41" s="20"/>
      <c r="BQ41" s="20"/>
      <c r="BR41" s="20"/>
      <c r="BS41" s="20"/>
      <c r="BT41" s="20"/>
      <c r="BU41" s="20"/>
      <c r="BV41" s="20"/>
      <c r="BW41" s="20"/>
      <c r="BX41" s="20"/>
      <c r="BY41" s="20"/>
      <c r="BZ41" s="20"/>
      <c r="CA41" s="20"/>
      <c r="CB41" s="20"/>
      <c r="CC41" s="20"/>
      <c r="CD41" s="20"/>
      <c r="CE41" s="20"/>
      <c r="CF41" s="20"/>
      <c r="CG41" s="20"/>
      <c r="CH41" s="20"/>
      <c r="CI41" s="20"/>
      <c r="CJ41" s="20"/>
      <c r="CK41" s="20"/>
      <c r="CL41" s="20"/>
      <c r="CM41" s="20"/>
      <c r="CN41" s="20"/>
      <c r="CO41" s="20"/>
      <c r="CP41" s="20"/>
      <c r="CQ41" s="20"/>
      <c r="CR41" s="20"/>
    </row>
    <row r="42" spans="1:96" ht="15" customHeight="1" x14ac:dyDescent="0.25">
      <c r="A42" s="19">
        <f t="shared" si="28"/>
        <v>45731</v>
      </c>
      <c r="B42" s="20">
        <v>17154039.859999999</v>
      </c>
      <c r="C42" s="20">
        <v>15267101.23</v>
      </c>
      <c r="D42" s="20">
        <v>362179</v>
      </c>
      <c r="E42" s="20">
        <f t="shared" ref="E42" si="499">B42-C42-D42</f>
        <v>1524759.629999999</v>
      </c>
      <c r="F42" s="20">
        <f>ROUND(E42*0.04,2)-0.01</f>
        <v>60990.38</v>
      </c>
      <c r="G42" s="20">
        <f t="shared" ref="G42" si="500">ROUND(E42*0,2)</f>
        <v>0</v>
      </c>
      <c r="H42" s="20">
        <f t="shared" ref="H42" si="501">E42-F42-G42</f>
        <v>1463769.2499999991</v>
      </c>
      <c r="I42" s="20">
        <f t="shared" ref="I42" si="502">ROUND(H42*0,2)</f>
        <v>0</v>
      </c>
      <c r="J42" s="20">
        <f t="shared" ref="J42" si="503">ROUND((I42*0.58)+((I42*0.42)*0.1),2)</f>
        <v>0</v>
      </c>
      <c r="K42" s="20">
        <f t="shared" ref="K42" si="504">ROUND((I42*0.42)*0.9,2)</f>
        <v>0</v>
      </c>
      <c r="L42" s="21">
        <f t="shared" ref="L42" si="505">IF(J42+K42=I42,H42-I42,"ERROR")</f>
        <v>1463769.2499999991</v>
      </c>
      <c r="M42" s="20">
        <f t="shared" ref="M42" si="506">ROUND(L42*0.465,2)</f>
        <v>680652.7</v>
      </c>
      <c r="N42" s="20">
        <f>ROUND(L42*0.3,2)+0.01</f>
        <v>439130.79000000004</v>
      </c>
      <c r="O42" s="20">
        <f t="shared" ref="O42" si="507">ROUND(L42*0.1285,2)</f>
        <v>188094.35</v>
      </c>
      <c r="P42" s="20">
        <f t="shared" ref="P42" si="508">ROUND((L42*0.07)*0.9,2)</f>
        <v>92217.46</v>
      </c>
      <c r="Q42" s="20">
        <f t="shared" ref="Q42" si="509">ROUND(L42*0.01,2)</f>
        <v>14637.69</v>
      </c>
      <c r="R42" s="20">
        <f t="shared" ref="R42" si="510">ROUND((L42*0.0075)*0.9,2)</f>
        <v>9880.44</v>
      </c>
      <c r="S42" s="20">
        <f t="shared" ref="S42" si="511">ROUND((L42*0.0075)*0.9,2)</f>
        <v>9880.44</v>
      </c>
      <c r="T42" s="20">
        <f>ROUND(L42*0.01,2)-0.01</f>
        <v>14637.68</v>
      </c>
      <c r="U42" s="20">
        <f>ROUND(L42*0.01,2)+0.01</f>
        <v>14637.7</v>
      </c>
      <c r="V42" s="22">
        <f t="shared" ref="V42" si="512">E42/W42</f>
        <v>1527.815260521041</v>
      </c>
      <c r="W42" s="23">
        <v>998</v>
      </c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20"/>
      <c r="CG42" s="20"/>
      <c r="CH42" s="20"/>
      <c r="CI42" s="20"/>
      <c r="CJ42" s="20"/>
      <c r="CK42" s="20"/>
      <c r="CL42" s="20"/>
      <c r="CM42" s="20"/>
      <c r="CN42" s="20"/>
      <c r="CO42" s="20"/>
      <c r="CP42" s="20"/>
      <c r="CQ42" s="20"/>
      <c r="CR42" s="20"/>
    </row>
    <row r="43" spans="1:96" ht="15" customHeight="1" x14ac:dyDescent="0.25">
      <c r="A43" s="19">
        <f t="shared" si="28"/>
        <v>45738</v>
      </c>
      <c r="B43" s="20">
        <v>18191621.059999999</v>
      </c>
      <c r="C43" s="20">
        <v>16160092.310000001</v>
      </c>
      <c r="D43" s="20">
        <v>343524</v>
      </c>
      <c r="E43" s="20">
        <f t="shared" ref="E43" si="513">B43-C43-D43</f>
        <v>1688004.7499999981</v>
      </c>
      <c r="F43" s="20">
        <f>ROUND(E43*0.04,2)</f>
        <v>67520.19</v>
      </c>
      <c r="G43" s="20">
        <f t="shared" ref="G43" si="514">ROUND(E43*0,2)</f>
        <v>0</v>
      </c>
      <c r="H43" s="20">
        <f t="shared" ref="H43" si="515">E43-F43-G43</f>
        <v>1620484.5599999982</v>
      </c>
      <c r="I43" s="20">
        <f t="shared" ref="I43" si="516">ROUND(H43*0,2)</f>
        <v>0</v>
      </c>
      <c r="J43" s="20">
        <f t="shared" ref="J43" si="517">ROUND((I43*0.58)+((I43*0.42)*0.1),2)</f>
        <v>0</v>
      </c>
      <c r="K43" s="20">
        <f t="shared" ref="K43" si="518">ROUND((I43*0.42)*0.9,2)</f>
        <v>0</v>
      </c>
      <c r="L43" s="21">
        <f t="shared" ref="L43" si="519">IF(J43+K43=I43,H43-I43,"ERROR")</f>
        <v>1620484.5599999982</v>
      </c>
      <c r="M43" s="20">
        <f t="shared" ref="M43" si="520">ROUND(L43*0.465,2)</f>
        <v>753525.32</v>
      </c>
      <c r="N43" s="20">
        <f>ROUND(L43*0.3,2)-0.02</f>
        <v>486145.35</v>
      </c>
      <c r="O43" s="20">
        <f t="shared" ref="O43" si="521">ROUND(L43*0.1285,2)</f>
        <v>208232.27</v>
      </c>
      <c r="P43" s="20">
        <f t="shared" ref="P43" si="522">ROUND((L43*0.07)*0.9,2)</f>
        <v>102090.53</v>
      </c>
      <c r="Q43" s="20">
        <f t="shared" ref="Q43" si="523">ROUND(L43*0.01,2)</f>
        <v>16204.85</v>
      </c>
      <c r="R43" s="20">
        <f t="shared" ref="R43" si="524">ROUND((L43*0.0075)*0.9,2)</f>
        <v>10938.27</v>
      </c>
      <c r="S43" s="20">
        <f t="shared" ref="S43" si="525">ROUND((L43*0.0075)*0.9,2)</f>
        <v>10938.27</v>
      </c>
      <c r="T43" s="20">
        <f>ROUND(L43*0.01,2)+0.01</f>
        <v>16204.86</v>
      </c>
      <c r="U43" s="20">
        <f>ROUND(L43*0.01,2)-0.01</f>
        <v>16204.84</v>
      </c>
      <c r="V43" s="22">
        <f t="shared" ref="V43" si="526">E43/W43</f>
        <v>1689.6944444444425</v>
      </c>
      <c r="W43" s="23">
        <v>999</v>
      </c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20"/>
      <c r="CG43" s="20"/>
      <c r="CH43" s="20"/>
      <c r="CI43" s="20"/>
      <c r="CJ43" s="20"/>
      <c r="CK43" s="20"/>
      <c r="CL43" s="20"/>
      <c r="CM43" s="20"/>
      <c r="CN43" s="20"/>
      <c r="CO43" s="20"/>
      <c r="CP43" s="20"/>
      <c r="CQ43" s="20"/>
      <c r="CR43" s="20"/>
    </row>
    <row r="44" spans="1:96" ht="15" customHeight="1" x14ac:dyDescent="0.25">
      <c r="A44" s="19">
        <f t="shared" si="28"/>
        <v>45745</v>
      </c>
      <c r="B44" s="20">
        <v>17675040.59</v>
      </c>
      <c r="C44" s="20">
        <v>15662811.790000001</v>
      </c>
      <c r="D44" s="20">
        <v>358692</v>
      </c>
      <c r="E44" s="20">
        <f t="shared" ref="E44" si="527">B44-C44-D44</f>
        <v>1653536.7999999989</v>
      </c>
      <c r="F44" s="20">
        <f>ROUND(E44*0.04,2)</f>
        <v>66141.47</v>
      </c>
      <c r="G44" s="20">
        <f t="shared" ref="G44" si="528">ROUND(E44*0,2)</f>
        <v>0</v>
      </c>
      <c r="H44" s="20">
        <f t="shared" ref="H44" si="529">E44-F44-G44</f>
        <v>1587395.3299999989</v>
      </c>
      <c r="I44" s="20">
        <f t="shared" ref="I44" si="530">ROUND(H44*0,2)</f>
        <v>0</v>
      </c>
      <c r="J44" s="20">
        <f t="shared" ref="J44" si="531">ROUND((I44*0.58)+((I44*0.42)*0.1),2)</f>
        <v>0</v>
      </c>
      <c r="K44" s="20">
        <f t="shared" ref="K44" si="532">ROUND((I44*0.42)*0.9,2)</f>
        <v>0</v>
      </c>
      <c r="L44" s="21">
        <f t="shared" ref="L44" si="533">IF(J44+K44=I44,H44-I44,"ERROR")</f>
        <v>1587395.3299999989</v>
      </c>
      <c r="M44" s="20">
        <f t="shared" ref="M44" si="534">ROUND(L44*0.465,2)</f>
        <v>738138.83</v>
      </c>
      <c r="N44" s="20">
        <f>ROUND(L44*0.3,2)</f>
        <v>476218.6</v>
      </c>
      <c r="O44" s="20">
        <f t="shared" ref="O44" si="535">ROUND(L44*0.1285,2)</f>
        <v>203980.3</v>
      </c>
      <c r="P44" s="20">
        <f t="shared" ref="P44" si="536">ROUND((L44*0.07)*0.9,2)</f>
        <v>100005.91</v>
      </c>
      <c r="Q44" s="20">
        <f t="shared" ref="Q44" si="537">ROUND(L44*0.01,2)</f>
        <v>15873.95</v>
      </c>
      <c r="R44" s="20">
        <f t="shared" ref="R44" si="538">ROUND((L44*0.0075)*0.9,2)</f>
        <v>10714.92</v>
      </c>
      <c r="S44" s="20">
        <f t="shared" ref="S44" si="539">ROUND((L44*0.0075)*0.9,2)</f>
        <v>10714.92</v>
      </c>
      <c r="T44" s="20">
        <f>ROUND(L44*0.01,2)-0.01</f>
        <v>15873.94</v>
      </c>
      <c r="U44" s="20">
        <f>ROUND(L44*0.01,2)+0.01</f>
        <v>15873.960000000001</v>
      </c>
      <c r="V44" s="22">
        <f t="shared" ref="V44" si="540">E44/W44</f>
        <v>1651.8849150849139</v>
      </c>
      <c r="W44" s="23">
        <v>1001</v>
      </c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20"/>
      <c r="AS44" s="20"/>
      <c r="AT44" s="20"/>
      <c r="AU44" s="20"/>
      <c r="AV44" s="20"/>
      <c r="AW44" s="20"/>
      <c r="AX44" s="20"/>
      <c r="AY44" s="20"/>
      <c r="AZ44" s="20"/>
      <c r="BA44" s="20"/>
      <c r="BB44" s="20"/>
      <c r="BC44" s="20"/>
      <c r="BD44" s="20"/>
      <c r="BE44" s="20"/>
      <c r="BF44" s="20"/>
      <c r="BG44" s="20"/>
      <c r="BH44" s="20"/>
      <c r="BI44" s="20"/>
      <c r="BJ44" s="20"/>
      <c r="BK44" s="20"/>
      <c r="BL44" s="20"/>
      <c r="BM44" s="20"/>
      <c r="BN44" s="20"/>
      <c r="BO44" s="20"/>
      <c r="BP44" s="20"/>
      <c r="BQ44" s="20"/>
      <c r="BR44" s="20"/>
      <c r="BS44" s="20"/>
      <c r="BT44" s="20"/>
      <c r="BU44" s="20"/>
      <c r="BV44" s="20"/>
      <c r="BW44" s="20"/>
      <c r="BX44" s="20"/>
      <c r="BY44" s="20"/>
      <c r="BZ44" s="20"/>
      <c r="CA44" s="20"/>
      <c r="CB44" s="20"/>
      <c r="CC44" s="20"/>
      <c r="CD44" s="20"/>
      <c r="CE44" s="20"/>
      <c r="CF44" s="20"/>
      <c r="CG44" s="20"/>
      <c r="CH44" s="20"/>
      <c r="CI44" s="20"/>
      <c r="CJ44" s="20"/>
      <c r="CK44" s="20"/>
      <c r="CL44" s="20"/>
      <c r="CM44" s="20"/>
      <c r="CN44" s="20"/>
      <c r="CO44" s="20"/>
      <c r="CP44" s="20"/>
      <c r="CQ44" s="20"/>
      <c r="CR44" s="20"/>
    </row>
    <row r="45" spans="1:96" ht="15" customHeight="1" x14ac:dyDescent="0.25">
      <c r="A45" s="19">
        <f t="shared" si="28"/>
        <v>45752</v>
      </c>
      <c r="B45" s="20">
        <v>18269504.59</v>
      </c>
      <c r="C45" s="20">
        <v>16300562.529999999</v>
      </c>
      <c r="D45" s="20">
        <v>348021</v>
      </c>
      <c r="E45" s="20">
        <f t="shared" ref="E45" si="541">B45-C45-D45</f>
        <v>1620921.0600000005</v>
      </c>
      <c r="F45" s="20">
        <f>ROUND(E45*0.04,2)+0.01</f>
        <v>64836.85</v>
      </c>
      <c r="G45" s="20">
        <f t="shared" ref="G45" si="542">ROUND(E45*0,2)</f>
        <v>0</v>
      </c>
      <c r="H45" s="20">
        <f t="shared" ref="H45" si="543">E45-F45-G45</f>
        <v>1556084.2100000004</v>
      </c>
      <c r="I45" s="20">
        <f t="shared" ref="I45" si="544">ROUND(H45*0,2)</f>
        <v>0</v>
      </c>
      <c r="J45" s="20">
        <f t="shared" ref="J45" si="545">ROUND((I45*0.58)+((I45*0.42)*0.1),2)</f>
        <v>0</v>
      </c>
      <c r="K45" s="20">
        <f t="shared" ref="K45" si="546">ROUND((I45*0.42)*0.9,2)</f>
        <v>0</v>
      </c>
      <c r="L45" s="21">
        <f t="shared" ref="L45" si="547">IF(J45+K45=I45,H45-I45,"ERROR")</f>
        <v>1556084.2100000004</v>
      </c>
      <c r="M45" s="20">
        <f t="shared" ref="M45" si="548">ROUND(L45*0.465,2)</f>
        <v>723579.16</v>
      </c>
      <c r="N45" s="20">
        <f>ROUND(L45*0.3,2)</f>
        <v>466825.26</v>
      </c>
      <c r="O45" s="20">
        <f t="shared" ref="O45" si="549">ROUND(L45*0.1285,2)</f>
        <v>199956.82</v>
      </c>
      <c r="P45" s="20">
        <f t="shared" ref="P45" si="550">ROUND((L45*0.07)*0.9,2)</f>
        <v>98033.31</v>
      </c>
      <c r="Q45" s="20">
        <f t="shared" ref="Q45" si="551">ROUND(L45*0.01,2)</f>
        <v>15560.84</v>
      </c>
      <c r="R45" s="20">
        <f t="shared" ref="R45" si="552">ROUND((L45*0.0075)*0.9,2)</f>
        <v>10503.57</v>
      </c>
      <c r="S45" s="20">
        <f t="shared" ref="S45" si="553">ROUND((L45*0.0075)*0.9,2)</f>
        <v>10503.57</v>
      </c>
      <c r="T45" s="20">
        <f>ROUND(L45*0.01,2)</f>
        <v>15560.84</v>
      </c>
      <c r="U45" s="20">
        <f>ROUND(L45*0.01,2)</f>
        <v>15560.84</v>
      </c>
      <c r="V45" s="22">
        <f t="shared" ref="V45" si="554">E45/W45</f>
        <v>1620.9210600000006</v>
      </c>
      <c r="W45" s="23">
        <v>1000</v>
      </c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  <c r="BH45" s="20"/>
      <c r="BI45" s="20"/>
      <c r="BJ45" s="20"/>
      <c r="BK45" s="20"/>
      <c r="BL45" s="20"/>
      <c r="BM45" s="20"/>
      <c r="BN45" s="20"/>
      <c r="BO45" s="20"/>
      <c r="BP45" s="20"/>
      <c r="BQ45" s="20"/>
      <c r="BR45" s="20"/>
      <c r="BS45" s="20"/>
      <c r="BT45" s="20"/>
      <c r="BU45" s="20"/>
      <c r="BV45" s="20"/>
      <c r="BW45" s="20"/>
      <c r="BX45" s="20"/>
      <c r="BY45" s="20"/>
      <c r="BZ45" s="20"/>
      <c r="CA45" s="20"/>
      <c r="CB45" s="20"/>
      <c r="CC45" s="20"/>
      <c r="CD45" s="20"/>
      <c r="CE45" s="20"/>
      <c r="CF45" s="20"/>
      <c r="CG45" s="20"/>
      <c r="CH45" s="20"/>
      <c r="CI45" s="20"/>
      <c r="CJ45" s="20"/>
      <c r="CK45" s="20"/>
      <c r="CL45" s="20"/>
      <c r="CM45" s="20"/>
      <c r="CN45" s="20"/>
      <c r="CO45" s="20"/>
      <c r="CP45" s="20"/>
      <c r="CQ45" s="20"/>
      <c r="CR45" s="20"/>
    </row>
    <row r="46" spans="1:96" ht="15" customHeight="1" x14ac:dyDescent="0.25">
      <c r="A46" s="19">
        <f t="shared" si="28"/>
        <v>45759</v>
      </c>
      <c r="B46" s="20">
        <v>16142881.25</v>
      </c>
      <c r="C46" s="20">
        <v>14460396.739999998</v>
      </c>
      <c r="D46" s="20">
        <v>322608</v>
      </c>
      <c r="E46" s="20">
        <f t="shared" ref="E46" si="555">B46-C46-D46</f>
        <v>1359876.5100000016</v>
      </c>
      <c r="F46" s="20">
        <f>ROUND(E46*0.04,2)</f>
        <v>54395.06</v>
      </c>
      <c r="G46" s="20">
        <f t="shared" ref="G46" si="556">ROUND(E46*0,2)</f>
        <v>0</v>
      </c>
      <c r="H46" s="20">
        <f t="shared" ref="H46" si="557">E46-F46-G46</f>
        <v>1305481.4500000016</v>
      </c>
      <c r="I46" s="20">
        <f t="shared" ref="I46" si="558">ROUND(H46*0,2)</f>
        <v>0</v>
      </c>
      <c r="J46" s="20">
        <f t="shared" ref="J46" si="559">ROUND((I46*0.58)+((I46*0.42)*0.1),2)</f>
        <v>0</v>
      </c>
      <c r="K46" s="20">
        <f t="shared" ref="K46" si="560">ROUND((I46*0.42)*0.9,2)</f>
        <v>0</v>
      </c>
      <c r="L46" s="21">
        <f t="shared" ref="L46" si="561">IF(J46+K46=I46,H46-I46,"ERROR")</f>
        <v>1305481.4500000016</v>
      </c>
      <c r="M46" s="20">
        <f t="shared" ref="M46" si="562">ROUND(L46*0.465,2)</f>
        <v>607048.87</v>
      </c>
      <c r="N46" s="20">
        <f>ROUND(L46*0.3,2)+0.01</f>
        <v>391644.45</v>
      </c>
      <c r="O46" s="20">
        <f t="shared" ref="O46" si="563">ROUND(L46*0.1285,2)</f>
        <v>167754.37</v>
      </c>
      <c r="P46" s="20">
        <f t="shared" ref="P46" si="564">ROUND((L46*0.07)*0.9,2)</f>
        <v>82245.33</v>
      </c>
      <c r="Q46" s="20">
        <f t="shared" ref="Q46" si="565">ROUND(L46*0.01,2)</f>
        <v>13054.81</v>
      </c>
      <c r="R46" s="20">
        <f t="shared" ref="R46" si="566">ROUND((L46*0.0075)*0.9,2)</f>
        <v>8812</v>
      </c>
      <c r="S46" s="20">
        <f t="shared" ref="S46" si="567">ROUND((L46*0.0075)*0.9,2)</f>
        <v>8812</v>
      </c>
      <c r="T46" s="20">
        <f>ROUND(L46*0.01,2)+0.01</f>
        <v>13054.82</v>
      </c>
      <c r="U46" s="20">
        <f>ROUND(L46*0.01,2)-0.01</f>
        <v>13054.8</v>
      </c>
      <c r="V46" s="22">
        <f t="shared" ref="V46" si="568">E46/W46</f>
        <v>1362.6017134268554</v>
      </c>
      <c r="W46" s="23">
        <v>998</v>
      </c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20"/>
      <c r="CG46" s="20"/>
      <c r="CH46" s="20"/>
      <c r="CI46" s="20"/>
      <c r="CJ46" s="20"/>
      <c r="CK46" s="20"/>
      <c r="CL46" s="20"/>
      <c r="CM46" s="20"/>
      <c r="CN46" s="20"/>
      <c r="CO46" s="20"/>
      <c r="CP46" s="20"/>
      <c r="CQ46" s="20"/>
      <c r="CR46" s="20"/>
    </row>
    <row r="47" spans="1:96" ht="15" customHeight="1" x14ac:dyDescent="0.25">
      <c r="A47" s="19">
        <f t="shared" si="28"/>
        <v>45766</v>
      </c>
      <c r="B47" s="20">
        <v>15713291.59</v>
      </c>
      <c r="C47" s="20">
        <v>14047947.52</v>
      </c>
      <c r="D47" s="20">
        <v>314852</v>
      </c>
      <c r="E47" s="20">
        <f t="shared" ref="E47" si="569">B47-C47-D47</f>
        <v>1350492.0700000003</v>
      </c>
      <c r="F47" s="20">
        <f>ROUND(E47*0.04,2)+0.01</f>
        <v>54019.69</v>
      </c>
      <c r="G47" s="20">
        <f t="shared" ref="G47" si="570">ROUND(E47*0,2)</f>
        <v>0</v>
      </c>
      <c r="H47" s="20">
        <f t="shared" ref="H47" si="571">E47-F47-G47</f>
        <v>1296472.3800000004</v>
      </c>
      <c r="I47" s="20">
        <f t="shared" ref="I47" si="572">ROUND(H47*0,2)</f>
        <v>0</v>
      </c>
      <c r="J47" s="20">
        <f t="shared" ref="J47" si="573">ROUND((I47*0.58)+((I47*0.42)*0.1),2)</f>
        <v>0</v>
      </c>
      <c r="K47" s="20">
        <f t="shared" ref="K47" si="574">ROUND((I47*0.42)*0.9,2)</f>
        <v>0</v>
      </c>
      <c r="L47" s="21">
        <f t="shared" ref="L47" si="575">IF(J47+K47=I47,H47-I47,"ERROR")</f>
        <v>1296472.3800000004</v>
      </c>
      <c r="M47" s="20">
        <f t="shared" ref="M47" si="576">ROUND(L47*0.465,2)</f>
        <v>602859.66</v>
      </c>
      <c r="N47" s="20">
        <f>ROUND(L47*0.3,2)+0.01</f>
        <v>388941.72000000003</v>
      </c>
      <c r="O47" s="20">
        <f t="shared" ref="O47" si="577">ROUND(L47*0.1285,2)</f>
        <v>166596.70000000001</v>
      </c>
      <c r="P47" s="20">
        <f t="shared" ref="P47" si="578">ROUND((L47*0.07)*0.9,2)</f>
        <v>81677.759999999995</v>
      </c>
      <c r="Q47" s="20">
        <f t="shared" ref="Q47" si="579">ROUND(L47*0.01,2)</f>
        <v>12964.72</v>
      </c>
      <c r="R47" s="20">
        <f t="shared" ref="R47" si="580">ROUND((L47*0.0075)*0.9,2)</f>
        <v>8751.19</v>
      </c>
      <c r="S47" s="20">
        <f t="shared" ref="S47" si="581">ROUND((L47*0.0075)*0.9,2)</f>
        <v>8751.19</v>
      </c>
      <c r="T47" s="20">
        <f>ROUND(L47*0.01,2)</f>
        <v>12964.72</v>
      </c>
      <c r="U47" s="20">
        <f>ROUND(L47*0.01,2)</f>
        <v>12964.72</v>
      </c>
      <c r="V47" s="22">
        <f t="shared" ref="V47" si="582">E47/W47</f>
        <v>1354.5557372116352</v>
      </c>
      <c r="W47" s="23">
        <v>997</v>
      </c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20"/>
      <c r="CG47" s="20"/>
      <c r="CH47" s="20"/>
      <c r="CI47" s="20"/>
      <c r="CJ47" s="20"/>
      <c r="CK47" s="20"/>
      <c r="CL47" s="20"/>
      <c r="CM47" s="20"/>
      <c r="CN47" s="20"/>
      <c r="CO47" s="20"/>
      <c r="CP47" s="20"/>
      <c r="CQ47" s="20"/>
      <c r="CR47" s="20"/>
    </row>
    <row r="48" spans="1:96" ht="15" customHeight="1" x14ac:dyDescent="0.25">
      <c r="A48" s="19">
        <f t="shared" si="28"/>
        <v>45773</v>
      </c>
      <c r="B48" s="20">
        <v>17063332.210000001</v>
      </c>
      <c r="C48" s="20">
        <v>15239781.68</v>
      </c>
      <c r="D48" s="20">
        <v>325693</v>
      </c>
      <c r="E48" s="20">
        <f t="shared" ref="E48" si="583">B48-C48-D48</f>
        <v>1497857.5300000012</v>
      </c>
      <c r="F48" s="20">
        <f>ROUND(E48*0.04,2)+0.01</f>
        <v>59914.310000000005</v>
      </c>
      <c r="G48" s="20">
        <f t="shared" ref="G48" si="584">ROUND(E48*0,2)</f>
        <v>0</v>
      </c>
      <c r="H48" s="20">
        <f t="shared" ref="H48" si="585">E48-F48-G48</f>
        <v>1437943.2200000011</v>
      </c>
      <c r="I48" s="20">
        <f t="shared" ref="I48" si="586">ROUND(H48*0,2)</f>
        <v>0</v>
      </c>
      <c r="J48" s="20">
        <f t="shared" ref="J48" si="587">ROUND((I48*0.58)+((I48*0.42)*0.1),2)</f>
        <v>0</v>
      </c>
      <c r="K48" s="20">
        <f t="shared" ref="K48" si="588">ROUND((I48*0.42)*0.9,2)</f>
        <v>0</v>
      </c>
      <c r="L48" s="21">
        <f t="shared" ref="L48" si="589">IF(J48+K48=I48,H48-I48,"ERROR")</f>
        <v>1437943.2200000011</v>
      </c>
      <c r="M48" s="20">
        <f t="shared" ref="M48" si="590">ROUND(L48*0.465,2)</f>
        <v>668643.6</v>
      </c>
      <c r="N48" s="20">
        <f>ROUND(L48*0.3,2)</f>
        <v>431382.97</v>
      </c>
      <c r="O48" s="20">
        <f t="shared" ref="O48" si="591">ROUND(L48*0.1285,2)</f>
        <v>184775.7</v>
      </c>
      <c r="P48" s="20">
        <f t="shared" ref="P48" si="592">ROUND((L48*0.07)*0.9,2)</f>
        <v>90590.42</v>
      </c>
      <c r="Q48" s="20">
        <f t="shared" ref="Q48" si="593">ROUND(L48*0.01,2)</f>
        <v>14379.43</v>
      </c>
      <c r="R48" s="20">
        <f t="shared" ref="R48" si="594">ROUND((L48*0.0075)*0.9,2)</f>
        <v>9706.1200000000008</v>
      </c>
      <c r="S48" s="20">
        <f t="shared" ref="S48" si="595">ROUND((L48*0.0075)*0.9,2)</f>
        <v>9706.1200000000008</v>
      </c>
      <c r="T48" s="20">
        <f>ROUND(L48*0.01,2)-0.01</f>
        <v>14379.42</v>
      </c>
      <c r="U48" s="20">
        <f>ROUND(L48*0.01,2)+0.01</f>
        <v>14379.44</v>
      </c>
      <c r="V48" s="22">
        <f t="shared" ref="V48" si="596">E48/W48</f>
        <v>1503.8730220883547</v>
      </c>
      <c r="W48" s="23">
        <v>996</v>
      </c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20"/>
      <c r="AS48" s="20"/>
      <c r="AT48" s="20"/>
      <c r="AU48" s="20"/>
      <c r="AV48" s="20"/>
      <c r="AW48" s="20"/>
      <c r="AX48" s="20"/>
      <c r="AY48" s="20"/>
      <c r="AZ48" s="20"/>
      <c r="BA48" s="20"/>
      <c r="BB48" s="20"/>
      <c r="BC48" s="20"/>
      <c r="BD48" s="20"/>
      <c r="BE48" s="20"/>
      <c r="BF48" s="20"/>
      <c r="BG48" s="20"/>
      <c r="BH48" s="20"/>
      <c r="BI48" s="20"/>
      <c r="BJ48" s="20"/>
      <c r="BK48" s="20"/>
      <c r="BL48" s="20"/>
      <c r="BM48" s="20"/>
      <c r="BN48" s="20"/>
      <c r="BO48" s="20"/>
      <c r="BP48" s="20"/>
      <c r="BQ48" s="20"/>
      <c r="BR48" s="20"/>
      <c r="BS48" s="20"/>
      <c r="BT48" s="20"/>
      <c r="BU48" s="20"/>
      <c r="BV48" s="20"/>
      <c r="BW48" s="20"/>
      <c r="BX48" s="20"/>
      <c r="BY48" s="20"/>
      <c r="BZ48" s="20"/>
      <c r="CA48" s="20"/>
      <c r="CB48" s="20"/>
      <c r="CC48" s="20"/>
      <c r="CD48" s="20"/>
      <c r="CE48" s="20"/>
      <c r="CF48" s="20"/>
      <c r="CG48" s="20"/>
      <c r="CH48" s="20"/>
      <c r="CI48" s="20"/>
      <c r="CJ48" s="20"/>
      <c r="CK48" s="20"/>
      <c r="CL48" s="20"/>
      <c r="CM48" s="20"/>
      <c r="CN48" s="20"/>
      <c r="CO48" s="20"/>
      <c r="CP48" s="20"/>
      <c r="CQ48" s="20"/>
      <c r="CR48" s="20"/>
    </row>
    <row r="49" spans="1:96" ht="15" customHeight="1" x14ac:dyDescent="0.25">
      <c r="A49" s="19">
        <f t="shared" si="28"/>
        <v>45780</v>
      </c>
      <c r="B49" s="20">
        <v>16518576.620000001</v>
      </c>
      <c r="C49" s="20">
        <v>14780750.790000001</v>
      </c>
      <c r="D49" s="20">
        <v>396282</v>
      </c>
      <c r="E49" s="20">
        <f t="shared" ref="E49" si="597">B49-C49-D49</f>
        <v>1341543.83</v>
      </c>
      <c r="F49" s="20">
        <f>ROUND(E49*0.04,2)</f>
        <v>53661.75</v>
      </c>
      <c r="G49" s="20">
        <f t="shared" ref="G49" si="598">ROUND(E49*0,2)</f>
        <v>0</v>
      </c>
      <c r="H49" s="20">
        <f t="shared" ref="H49" si="599">E49-F49-G49</f>
        <v>1287882.08</v>
      </c>
      <c r="I49" s="20">
        <f t="shared" ref="I49" si="600">ROUND(H49*0,2)</f>
        <v>0</v>
      </c>
      <c r="J49" s="20">
        <f t="shared" ref="J49" si="601">ROUND((I49*0.58)+((I49*0.42)*0.1),2)</f>
        <v>0</v>
      </c>
      <c r="K49" s="20">
        <f t="shared" ref="K49" si="602">ROUND((I49*0.42)*0.9,2)</f>
        <v>0</v>
      </c>
      <c r="L49" s="21">
        <f t="shared" ref="L49" si="603">IF(J49+K49=I49,H49-I49,"ERROR")</f>
        <v>1287882.08</v>
      </c>
      <c r="M49" s="20">
        <f t="shared" ref="M49" si="604">ROUND(L49*0.465,2)</f>
        <v>598865.17000000004</v>
      </c>
      <c r="N49" s="20">
        <f>ROUND(L49*0.3,2)+0.01</f>
        <v>386364.63</v>
      </c>
      <c r="O49" s="20">
        <f t="shared" ref="O49" si="605">ROUND(L49*0.1285,2)</f>
        <v>165492.85</v>
      </c>
      <c r="P49" s="20">
        <f t="shared" ref="P49" si="606">ROUND((L49*0.07)*0.9,2)</f>
        <v>81136.570000000007</v>
      </c>
      <c r="Q49" s="20">
        <f t="shared" ref="Q49" si="607">ROUND(L49*0.01,2)</f>
        <v>12878.82</v>
      </c>
      <c r="R49" s="20">
        <f t="shared" ref="R49" si="608">ROUND((L49*0.0075)*0.9,2)</f>
        <v>8693.2000000000007</v>
      </c>
      <c r="S49" s="20">
        <f t="shared" ref="S49" si="609">ROUND((L49*0.0075)*0.9,2)</f>
        <v>8693.2000000000007</v>
      </c>
      <c r="T49" s="20">
        <f>ROUND(L49*0.01,2)</f>
        <v>12878.82</v>
      </c>
      <c r="U49" s="20">
        <f>ROUND(L49*0.01,2)</f>
        <v>12878.82</v>
      </c>
      <c r="V49" s="22">
        <f t="shared" ref="V49" si="610">E49/W49</f>
        <v>1351.0008358509567</v>
      </c>
      <c r="W49" s="23">
        <v>993</v>
      </c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0"/>
      <c r="AP49" s="20"/>
      <c r="AQ49" s="20"/>
      <c r="AR49" s="20"/>
      <c r="AS49" s="20"/>
      <c r="AT49" s="20"/>
      <c r="AU49" s="20"/>
      <c r="AV49" s="20"/>
      <c r="AW49" s="20"/>
      <c r="AX49" s="20"/>
      <c r="AY49" s="20"/>
      <c r="AZ49" s="20"/>
      <c r="BA49" s="20"/>
      <c r="BB49" s="20"/>
      <c r="BC49" s="20"/>
      <c r="BD49" s="20"/>
      <c r="BE49" s="20"/>
      <c r="BF49" s="20"/>
      <c r="BG49" s="20"/>
      <c r="BH49" s="20"/>
      <c r="BI49" s="20"/>
      <c r="BJ49" s="20"/>
      <c r="BK49" s="20"/>
      <c r="BL49" s="20"/>
      <c r="BM49" s="20"/>
      <c r="BN49" s="20"/>
      <c r="BO49" s="20"/>
      <c r="BP49" s="20"/>
      <c r="BQ49" s="20"/>
      <c r="BR49" s="20"/>
      <c r="BS49" s="20"/>
      <c r="BT49" s="20"/>
      <c r="BU49" s="20"/>
      <c r="BV49" s="20"/>
      <c r="BW49" s="20"/>
      <c r="BX49" s="20"/>
      <c r="BY49" s="20"/>
      <c r="BZ49" s="20"/>
      <c r="CA49" s="20"/>
      <c r="CB49" s="20"/>
      <c r="CC49" s="20"/>
      <c r="CD49" s="20"/>
      <c r="CE49" s="20"/>
      <c r="CF49" s="20"/>
      <c r="CG49" s="20"/>
      <c r="CH49" s="20"/>
      <c r="CI49" s="20"/>
      <c r="CJ49" s="20"/>
      <c r="CK49" s="20"/>
      <c r="CL49" s="20"/>
      <c r="CM49" s="20"/>
      <c r="CN49" s="20"/>
      <c r="CO49" s="20"/>
      <c r="CP49" s="20"/>
      <c r="CQ49" s="20"/>
      <c r="CR49" s="20"/>
    </row>
    <row r="50" spans="1:96" ht="15" customHeight="1" x14ac:dyDescent="0.25">
      <c r="A50" s="19">
        <f t="shared" si="28"/>
        <v>45787</v>
      </c>
      <c r="B50" s="20">
        <v>15917434.989999998</v>
      </c>
      <c r="C50" s="20">
        <v>14171084.75</v>
      </c>
      <c r="D50" s="20">
        <v>340854</v>
      </c>
      <c r="E50" s="20">
        <f t="shared" ref="E50" si="611">B50-C50-D50</f>
        <v>1405496.2399999984</v>
      </c>
      <c r="F50" s="20">
        <f>ROUND(E50*0.04,2)</f>
        <v>56219.85</v>
      </c>
      <c r="G50" s="20">
        <f t="shared" ref="G50" si="612">ROUND(E50*0,2)</f>
        <v>0</v>
      </c>
      <c r="H50" s="20">
        <f t="shared" ref="H50" si="613">E50-F50-G50</f>
        <v>1349276.3899999983</v>
      </c>
      <c r="I50" s="20">
        <f t="shared" ref="I50" si="614">ROUND(H50*0,2)</f>
        <v>0</v>
      </c>
      <c r="J50" s="20">
        <f t="shared" ref="J50" si="615">ROUND((I50*0.58)+((I50*0.42)*0.1),2)</f>
        <v>0</v>
      </c>
      <c r="K50" s="20">
        <f t="shared" ref="K50" si="616">ROUND((I50*0.42)*0.9,2)</f>
        <v>0</v>
      </c>
      <c r="L50" s="21">
        <f t="shared" ref="L50" si="617">IF(J50+K50=I50,H50-I50,"ERROR")</f>
        <v>1349276.3899999983</v>
      </c>
      <c r="M50" s="20">
        <f t="shared" ref="M50" si="618">ROUND(L50*0.465,2)</f>
        <v>627413.52</v>
      </c>
      <c r="N50" s="20">
        <f>ROUND(L50*0.3,2)</f>
        <v>404782.92</v>
      </c>
      <c r="O50" s="20">
        <f t="shared" ref="O50" si="619">ROUND(L50*0.1285,2)</f>
        <v>173382.02</v>
      </c>
      <c r="P50" s="20">
        <f t="shared" ref="P50" si="620">ROUND((L50*0.07)*0.9,2)</f>
        <v>85004.41</v>
      </c>
      <c r="Q50" s="20">
        <f t="shared" ref="Q50" si="621">ROUND(L50*0.01,2)</f>
        <v>13492.76</v>
      </c>
      <c r="R50" s="20">
        <f t="shared" ref="R50" si="622">ROUND((L50*0.0075)*0.9,2)</f>
        <v>9107.6200000000008</v>
      </c>
      <c r="S50" s="20">
        <f t="shared" ref="S50" si="623">ROUND((L50*0.0075)*0.9,2)</f>
        <v>9107.6200000000008</v>
      </c>
      <c r="T50" s="20">
        <f>ROUND(L50*0.01,2)</f>
        <v>13492.76</v>
      </c>
      <c r="U50" s="20">
        <f>ROUND(L50*0.01,2)</f>
        <v>13492.76</v>
      </c>
      <c r="V50" s="22">
        <f t="shared" ref="V50" si="624">E50/W50</f>
        <v>1418.2605852674051</v>
      </c>
      <c r="W50" s="23">
        <v>991</v>
      </c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</row>
    <row r="51" spans="1:96" ht="15" customHeight="1" x14ac:dyDescent="0.25">
      <c r="A51" s="19">
        <f t="shared" si="28"/>
        <v>45794</v>
      </c>
      <c r="B51" s="20">
        <v>16170448.24</v>
      </c>
      <c r="C51" s="20">
        <v>14380915.82</v>
      </c>
      <c r="D51" s="20">
        <v>332073</v>
      </c>
      <c r="E51" s="20">
        <f t="shared" ref="E51" si="625">B51-C51-D51</f>
        <v>1457459.42</v>
      </c>
      <c r="F51" s="20">
        <f>ROUND(E51*0.04,2)-0.02</f>
        <v>58298.36</v>
      </c>
      <c r="G51" s="20">
        <f t="shared" ref="G51" si="626">ROUND(E51*0,2)</f>
        <v>0</v>
      </c>
      <c r="H51" s="20">
        <f t="shared" ref="H51" si="627">E51-F51-G51</f>
        <v>1399161.0599999998</v>
      </c>
      <c r="I51" s="20">
        <f t="shared" ref="I51" si="628">ROUND(H51*0,2)</f>
        <v>0</v>
      </c>
      <c r="J51" s="20">
        <f t="shared" ref="J51" si="629">ROUND((I51*0.58)+((I51*0.42)*0.1),2)</f>
        <v>0</v>
      </c>
      <c r="K51" s="20">
        <f t="shared" ref="K51" si="630">ROUND((I51*0.42)*0.9,2)</f>
        <v>0</v>
      </c>
      <c r="L51" s="21">
        <f t="shared" ref="L51" si="631">IF(J51+K51=I51,H51-I51,"ERROR")</f>
        <v>1399161.0599999998</v>
      </c>
      <c r="M51" s="20">
        <f t="shared" ref="M51" si="632">ROUND(L51*0.465,2)</f>
        <v>650609.89</v>
      </c>
      <c r="N51" s="20">
        <f>ROUND(L51*0.3,2)-0.01</f>
        <v>419748.31</v>
      </c>
      <c r="O51" s="20">
        <f t="shared" ref="O51" si="633">ROUND(L51*0.1285,2)</f>
        <v>179792.2</v>
      </c>
      <c r="P51" s="20">
        <f t="shared" ref="P51" si="634">ROUND((L51*0.07)*0.9,2)</f>
        <v>88147.15</v>
      </c>
      <c r="Q51" s="20">
        <f t="shared" ref="Q51" si="635">ROUND(L51*0.01,2)</f>
        <v>13991.61</v>
      </c>
      <c r="R51" s="20">
        <f t="shared" ref="R51" si="636">ROUND((L51*0.0075)*0.9,2)</f>
        <v>9444.34</v>
      </c>
      <c r="S51" s="20">
        <f t="shared" ref="S51" si="637">ROUND((L51*0.0075)*0.9,2)</f>
        <v>9444.34</v>
      </c>
      <c r="T51" s="20">
        <f>ROUND(L51*0.01,2)+0.01</f>
        <v>13991.62</v>
      </c>
      <c r="U51" s="20">
        <f>ROUND(L51*0.01,2)-0.01</f>
        <v>13991.6</v>
      </c>
      <c r="V51" s="22">
        <f t="shared" ref="V51" si="638">E51/W51</f>
        <v>1464.783336683417</v>
      </c>
      <c r="W51" s="23">
        <v>995</v>
      </c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  <c r="CQ51" s="20"/>
      <c r="CR51" s="20"/>
    </row>
    <row r="52" spans="1:96" ht="15" customHeight="1" x14ac:dyDescent="0.25">
      <c r="A52" s="19">
        <f t="shared" si="28"/>
        <v>45801</v>
      </c>
      <c r="B52" s="20">
        <v>16555987.340000002</v>
      </c>
      <c r="C52" s="20">
        <v>14750289.129999999</v>
      </c>
      <c r="D52" s="20">
        <v>354221</v>
      </c>
      <c r="E52" s="20">
        <f t="shared" ref="E52" si="639">B52-C52-D52</f>
        <v>1451477.2100000028</v>
      </c>
      <c r="F52" s="20">
        <f>ROUND(E52*0.04,2)</f>
        <v>58059.09</v>
      </c>
      <c r="G52" s="20">
        <f t="shared" ref="G52" si="640">ROUND(E52*0,2)</f>
        <v>0</v>
      </c>
      <c r="H52" s="20">
        <f t="shared" ref="H52" si="641">E52-F52-G52</f>
        <v>1393418.1200000027</v>
      </c>
      <c r="I52" s="20">
        <f t="shared" ref="I52" si="642">ROUND(H52*0,2)</f>
        <v>0</v>
      </c>
      <c r="J52" s="20">
        <f t="shared" ref="J52" si="643">ROUND((I52*0.58)+((I52*0.42)*0.1),2)</f>
        <v>0</v>
      </c>
      <c r="K52" s="20">
        <f t="shared" ref="K52" si="644">ROUND((I52*0.42)*0.9,2)</f>
        <v>0</v>
      </c>
      <c r="L52" s="21">
        <f t="shared" ref="L52" si="645">IF(J52+K52=I52,H52-I52,"ERROR")</f>
        <v>1393418.1200000027</v>
      </c>
      <c r="M52" s="20">
        <f t="shared" ref="M52" si="646">ROUND(L52*0.465,2)</f>
        <v>647939.43000000005</v>
      </c>
      <c r="N52" s="20">
        <f>ROUND(L52*0.3,2)</f>
        <v>418025.44</v>
      </c>
      <c r="O52" s="20">
        <f t="shared" ref="O52" si="647">ROUND(L52*0.1285,2)</f>
        <v>179054.23</v>
      </c>
      <c r="P52" s="20">
        <f t="shared" ref="P52" si="648">ROUND((L52*0.07)*0.9,2)</f>
        <v>87785.34</v>
      </c>
      <c r="Q52" s="20">
        <f t="shared" ref="Q52" si="649">ROUND(L52*0.01,2)</f>
        <v>13934.18</v>
      </c>
      <c r="R52" s="20">
        <f t="shared" ref="R52" si="650">ROUND((L52*0.0075)*0.9,2)</f>
        <v>9405.57</v>
      </c>
      <c r="S52" s="20">
        <f t="shared" ref="S52" si="651">ROUND((L52*0.0075)*0.9,2)</f>
        <v>9405.57</v>
      </c>
      <c r="T52" s="20">
        <f>ROUND(L52*0.01,2)</f>
        <v>13934.18</v>
      </c>
      <c r="U52" s="20">
        <f>ROUND(L52*0.01,2)</f>
        <v>13934.18</v>
      </c>
      <c r="V52" s="22">
        <f t="shared" ref="V52" si="652">E52/W52</f>
        <v>1451.4772100000027</v>
      </c>
      <c r="W52" s="23">
        <v>1000</v>
      </c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20"/>
      <c r="CG52" s="20"/>
      <c r="CH52" s="20"/>
      <c r="CI52" s="20"/>
      <c r="CJ52" s="20"/>
      <c r="CK52" s="20"/>
      <c r="CL52" s="20"/>
      <c r="CM52" s="20"/>
      <c r="CN52" s="20"/>
      <c r="CO52" s="20"/>
      <c r="CP52" s="20"/>
      <c r="CQ52" s="20"/>
      <c r="CR52" s="20"/>
    </row>
    <row r="53" spans="1:96" ht="15" customHeight="1" x14ac:dyDescent="0.25">
      <c r="B53" s="9"/>
      <c r="V53" s="10"/>
    </row>
    <row r="54" spans="1:96" ht="15" customHeight="1" thickBot="1" x14ac:dyDescent="0.3">
      <c r="B54" s="11">
        <f t="shared" ref="B54:U54" si="653">SUM(B6:B53)</f>
        <v>751101417.33000004</v>
      </c>
      <c r="C54" s="11">
        <f t="shared" si="653"/>
        <v>667379483.56999993</v>
      </c>
      <c r="D54" s="11">
        <f t="shared" si="653"/>
        <v>15366290</v>
      </c>
      <c r="E54" s="11">
        <f t="shared" si="653"/>
        <v>68355643.76000002</v>
      </c>
      <c r="F54" s="11">
        <f t="shared" si="653"/>
        <v>2734225.69</v>
      </c>
      <c r="G54" s="11">
        <f t="shared" si="653"/>
        <v>0</v>
      </c>
      <c r="H54" s="11">
        <f t="shared" si="653"/>
        <v>65621418.070000023</v>
      </c>
      <c r="I54" s="11">
        <f t="shared" si="653"/>
        <v>0</v>
      </c>
      <c r="J54" s="11">
        <f t="shared" si="653"/>
        <v>0</v>
      </c>
      <c r="K54" s="11">
        <f t="shared" si="653"/>
        <v>0</v>
      </c>
      <c r="L54" s="11">
        <f t="shared" si="653"/>
        <v>65621418.070000023</v>
      </c>
      <c r="M54" s="11">
        <f t="shared" si="653"/>
        <v>30513959.420000006</v>
      </c>
      <c r="N54" s="11">
        <f t="shared" si="653"/>
        <v>19686425.539999999</v>
      </c>
      <c r="O54" s="11">
        <f t="shared" si="653"/>
        <v>8432352.2199999988</v>
      </c>
      <c r="P54" s="11">
        <f t="shared" si="653"/>
        <v>4134149.3199999994</v>
      </c>
      <c r="Q54" s="11">
        <f t="shared" si="653"/>
        <v>656214.13</v>
      </c>
      <c r="R54" s="11">
        <f t="shared" si="653"/>
        <v>442944.58999999997</v>
      </c>
      <c r="S54" s="11">
        <f t="shared" si="653"/>
        <v>442944.58999999997</v>
      </c>
      <c r="T54" s="11">
        <f t="shared" si="653"/>
        <v>656214.1399999999</v>
      </c>
      <c r="U54" s="11">
        <f t="shared" si="653"/>
        <v>656214.11999999988</v>
      </c>
      <c r="V54" s="12">
        <f>AVERAGE(V6:V53)</f>
        <v>1435.5886577375159</v>
      </c>
      <c r="W54" s="13">
        <f>AVERAGE(W6:W53)</f>
        <v>1012.7234042553191</v>
      </c>
    </row>
    <row r="55" spans="1:96" ht="15" customHeight="1" thickTop="1" x14ac:dyDescent="0.25"/>
    <row r="56" spans="1:96" ht="15" customHeight="1" x14ac:dyDescent="0.25">
      <c r="A56" s="1" t="s">
        <v>34</v>
      </c>
    </row>
    <row r="57" spans="1:96" ht="15" customHeight="1" x14ac:dyDescent="0.25">
      <c r="A57" s="1" t="s">
        <v>4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&amp;CMOUNTAINEER CASINO VIDEO LOTTERY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R61"/>
  <sheetViews>
    <sheetView workbookViewId="0">
      <pane ySplit="3" topLeftCell="A26" activePane="bottomLeft" state="frozen"/>
      <selection pane="bottomLeft" activeCell="A53" sqref="A53"/>
    </sheetView>
  </sheetViews>
  <sheetFormatPr defaultRowHeight="15" customHeight="1" x14ac:dyDescent="0.25"/>
  <cols>
    <col min="1" max="1" width="11.7109375" customWidth="1"/>
    <col min="2" max="2" width="16.85546875" customWidth="1"/>
    <col min="3" max="3" width="17.42578125" bestFit="1" customWidth="1"/>
    <col min="4" max="4" width="15.140625" customWidth="1"/>
    <col min="5" max="5" width="17.140625" customWidth="1"/>
    <col min="6" max="6" width="14.7109375" bestFit="1" customWidth="1"/>
    <col min="7" max="7" width="13.7109375" bestFit="1" customWidth="1"/>
    <col min="8" max="8" width="17.5703125" customWidth="1"/>
    <col min="9" max="9" width="11.7109375" hidden="1" customWidth="1"/>
    <col min="10" max="11" width="12.7109375" customWidth="1"/>
    <col min="12" max="12" width="16.5703125" customWidth="1"/>
    <col min="13" max="13" width="15.85546875" customWidth="1"/>
    <col min="14" max="14" width="16.140625" customWidth="1"/>
    <col min="15" max="16" width="14.7109375" bestFit="1" customWidth="1"/>
    <col min="17" max="19" width="13.7109375" customWidth="1"/>
    <col min="20" max="20" width="16.42578125" customWidth="1"/>
    <col min="21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23</v>
      </c>
      <c r="U1" s="2" t="s">
        <v>22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938567099.40000045</v>
      </c>
      <c r="C2" s="4">
        <v>841347383.17199993</v>
      </c>
      <c r="D2" s="4">
        <v>16216211.32</v>
      </c>
      <c r="E2" s="4">
        <v>81003504.908000022</v>
      </c>
      <c r="F2" s="4">
        <v>3240140.15</v>
      </c>
      <c r="G2" s="4">
        <v>0</v>
      </c>
      <c r="H2" s="4">
        <v>77763364.758000001</v>
      </c>
      <c r="I2" s="4">
        <v>0</v>
      </c>
      <c r="J2" s="4">
        <v>0</v>
      </c>
      <c r="K2" s="4">
        <v>0</v>
      </c>
      <c r="L2" s="4">
        <v>77763364.758000001</v>
      </c>
      <c r="M2" s="4">
        <v>36159964.580000006</v>
      </c>
      <c r="N2" s="4">
        <v>23329009.440000001</v>
      </c>
      <c r="O2" s="4">
        <v>9992592.3899999969</v>
      </c>
      <c r="P2" s="4">
        <v>4899091.950000002</v>
      </c>
      <c r="Q2" s="4">
        <v>777633.63999999978</v>
      </c>
      <c r="R2" s="4">
        <v>524902.74</v>
      </c>
      <c r="S2" s="4">
        <v>524902.74</v>
      </c>
      <c r="T2" s="4">
        <v>1162290.5799999998</v>
      </c>
      <c r="U2" s="4">
        <v>392976.6999999999</v>
      </c>
      <c r="V2" s="4">
        <v>1589.1301134039443</v>
      </c>
      <c r="W2" s="8">
        <v>939.88888888888891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19596948.740000002</v>
      </c>
      <c r="C6" s="7">
        <v>17564765.920000002</v>
      </c>
      <c r="D6" s="7">
        <v>361554.47000000003</v>
      </c>
      <c r="E6" s="7">
        <f t="shared" ref="E6" si="0">B6-C6-D6</f>
        <v>1670628.3500000003</v>
      </c>
      <c r="F6" s="7">
        <f>ROUND(E6*0.04,2)</f>
        <v>66825.13</v>
      </c>
      <c r="G6" s="7">
        <f t="shared" ref="G6" si="1">ROUND(E6*0,2)</f>
        <v>0</v>
      </c>
      <c r="H6" s="7">
        <f t="shared" ref="H6" si="2">E6-F6-G6</f>
        <v>1603803.2200000002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1603803.2200000002</v>
      </c>
      <c r="M6" s="7">
        <f t="shared" ref="M6" si="7">ROUND(L6*0.465,2)</f>
        <v>745768.5</v>
      </c>
      <c r="N6" s="7">
        <f>ROUND(L6*0.3,2)+0.01</f>
        <v>481140.98</v>
      </c>
      <c r="O6" s="7">
        <f t="shared" ref="O6" si="8">ROUND(L6*0.1285,2)</f>
        <v>206088.71</v>
      </c>
      <c r="P6" s="7">
        <f t="shared" ref="P6" si="9">ROUND((L6*0.07)*0.9,2)</f>
        <v>101039.6</v>
      </c>
      <c r="Q6" s="7">
        <f t="shared" ref="Q6" si="10">ROUND(L6*0.01,2)</f>
        <v>16038.03</v>
      </c>
      <c r="R6" s="7">
        <f t="shared" ref="R6" si="11">ROUND((L6*0.0075)*0.9,2)</f>
        <v>10825.67</v>
      </c>
      <c r="S6" s="7">
        <f t="shared" ref="S6" si="12">ROUND((L6*0.0075)*0.9,2)</f>
        <v>10825.67</v>
      </c>
      <c r="T6" s="7">
        <f>ROUND(L6*0.02,2)</f>
        <v>32076.06</v>
      </c>
      <c r="U6" s="7">
        <f t="shared" ref="U6" si="13">ROUND(M6*0,2)</f>
        <v>0</v>
      </c>
      <c r="V6" s="16">
        <f t="shared" ref="V6" si="14">E6/W6</f>
        <v>1685.8005549949548</v>
      </c>
      <c r="W6" s="8">
        <v>991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20169827.859999999</v>
      </c>
      <c r="C7" s="7">
        <v>18075539.989999998</v>
      </c>
      <c r="D7" s="7">
        <v>381191.35</v>
      </c>
      <c r="E7" s="7">
        <f t="shared" ref="E7" si="15">B7-C7-D7</f>
        <v>1713096.5200000009</v>
      </c>
      <c r="F7" s="7">
        <f>ROUND(E7*0.04,2)+0.01</f>
        <v>68523.87</v>
      </c>
      <c r="G7" s="7">
        <f t="shared" ref="G7" si="16">ROUND(E7*0,2)</f>
        <v>0</v>
      </c>
      <c r="H7" s="7">
        <f t="shared" ref="H7" si="17">E7-F7-G7</f>
        <v>1644572.6500000008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1644572.6500000008</v>
      </c>
      <c r="M7" s="7">
        <f t="shared" ref="M7" si="22">ROUND(L7*0.465,2)</f>
        <v>764726.28</v>
      </c>
      <c r="N7" s="7">
        <f>ROUND(L7*0.3,2)-0.03</f>
        <v>493371.76999999996</v>
      </c>
      <c r="O7" s="7">
        <f t="shared" ref="O7" si="23">ROUND(L7*0.1285,2)</f>
        <v>211327.59</v>
      </c>
      <c r="P7" s="7">
        <f t="shared" ref="P7" si="24">ROUND((L7*0.07)*0.9,2)</f>
        <v>103608.08</v>
      </c>
      <c r="Q7" s="7">
        <f t="shared" ref="Q7" si="25">ROUND(L7*0.01,2)</f>
        <v>16445.73</v>
      </c>
      <c r="R7" s="7">
        <f t="shared" ref="R7" si="26">ROUND((L7*0.0075)*0.9,2)</f>
        <v>11100.87</v>
      </c>
      <c r="S7" s="7">
        <f t="shared" ref="S7" si="27">ROUND((L7*0.0075)*0.9,2)</f>
        <v>11100.87</v>
      </c>
      <c r="T7" s="7">
        <f>ROUND(L7*0.02,2)+0.01</f>
        <v>32891.46</v>
      </c>
      <c r="U7" s="7">
        <f t="shared" ref="U7" si="28">ROUND(M7*0,2)</f>
        <v>0</v>
      </c>
      <c r="V7" s="16">
        <f t="shared" ref="V7" si="29">E7/W7</f>
        <v>1732.1501718907998</v>
      </c>
      <c r="W7" s="8">
        <v>989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18203871.66</v>
      </c>
      <c r="C8" s="7">
        <v>16334423.33</v>
      </c>
      <c r="D8" s="7">
        <v>345167.03</v>
      </c>
      <c r="E8" s="7">
        <f t="shared" ref="E8" si="30">B8-C8-D8</f>
        <v>1524281.3</v>
      </c>
      <c r="F8" s="7">
        <f>ROUND(E8*0.04,2)</f>
        <v>60971.25</v>
      </c>
      <c r="G8" s="7">
        <f t="shared" ref="G8" si="31">ROUND(E8*0,2)</f>
        <v>0</v>
      </c>
      <c r="H8" s="7">
        <f t="shared" ref="H8" si="32">E8-F8-G8</f>
        <v>1463310.05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1463310.05</v>
      </c>
      <c r="M8" s="7">
        <f t="shared" ref="M8" si="37">ROUND(L8*0.465,2)</f>
        <v>680439.17</v>
      </c>
      <c r="N8" s="7">
        <f>ROUND(L8*0.3,2)+0.01</f>
        <v>438993.03</v>
      </c>
      <c r="O8" s="7">
        <f t="shared" ref="O8" si="38">ROUND(L8*0.1285,2)</f>
        <v>188035.34</v>
      </c>
      <c r="P8" s="7">
        <f t="shared" ref="P8" si="39">ROUND((L8*0.07)*0.9,2)</f>
        <v>92188.53</v>
      </c>
      <c r="Q8" s="7">
        <f t="shared" ref="Q8" si="40">ROUND(L8*0.01,2)</f>
        <v>14633.1</v>
      </c>
      <c r="R8" s="7">
        <f t="shared" ref="R8" si="41">ROUND((L8*0.0075)*0.9,2)</f>
        <v>9877.34</v>
      </c>
      <c r="S8" s="7">
        <f t="shared" ref="S8" si="42">ROUND((L8*0.0075)*0.9,2)</f>
        <v>9877.34</v>
      </c>
      <c r="T8" s="7">
        <f>ROUND(L8*0.02,2)</f>
        <v>29266.2</v>
      </c>
      <c r="U8" s="7">
        <f t="shared" ref="U8" si="43">ROUND(M8*0,2)</f>
        <v>0</v>
      </c>
      <c r="V8" s="16">
        <f t="shared" ref="V8" si="44">E8/W8</f>
        <v>1542.7948380566802</v>
      </c>
      <c r="W8" s="8">
        <v>988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19569139.73</v>
      </c>
      <c r="C9" s="7">
        <v>17518832.260000002</v>
      </c>
      <c r="D9" s="7">
        <v>377759.79</v>
      </c>
      <c r="E9" s="7">
        <f t="shared" ref="E9" si="45">B9-C9-D9</f>
        <v>1672547.6799999988</v>
      </c>
      <c r="F9" s="7">
        <f>ROUND(E9*0.04,2)+0.01</f>
        <v>66901.919999999998</v>
      </c>
      <c r="G9" s="7">
        <f t="shared" ref="G9" si="46">ROUND(E9*0,2)</f>
        <v>0</v>
      </c>
      <c r="H9" s="7">
        <f t="shared" ref="H9" si="47">E9-F9-G9</f>
        <v>1605645.7599999988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1605645.7599999988</v>
      </c>
      <c r="M9" s="7">
        <f t="shared" ref="M9" si="52">ROUND(L9*0.465,2)</f>
        <v>746625.28</v>
      </c>
      <c r="N9" s="7">
        <f>ROUND(L9*0.3,2)-0.01</f>
        <v>481693.72</v>
      </c>
      <c r="O9" s="7">
        <f t="shared" ref="O9" si="53">ROUND(L9*0.1285,2)</f>
        <v>206325.48</v>
      </c>
      <c r="P9" s="7">
        <f t="shared" ref="P9" si="54">ROUND((L9*0.07)*0.9,2)</f>
        <v>101155.68</v>
      </c>
      <c r="Q9" s="7">
        <f t="shared" ref="Q9" si="55">ROUND(L9*0.01,2)</f>
        <v>16056.46</v>
      </c>
      <c r="R9" s="7">
        <f t="shared" ref="R9" si="56">ROUND((L9*0.0075)*0.9,2)</f>
        <v>10838.11</v>
      </c>
      <c r="S9" s="7">
        <f t="shared" ref="S9" si="57">ROUND((L9*0.0075)*0.9,2)</f>
        <v>10838.11</v>
      </c>
      <c r="T9" s="7">
        <f>ROUND(L9*0.02,2)</f>
        <v>32112.92</v>
      </c>
      <c r="U9" s="7">
        <f t="shared" ref="U9" si="58">ROUND(M9*0,2)</f>
        <v>0</v>
      </c>
      <c r="V9" s="16">
        <f t="shared" ref="V9" si="59">E9/W9</f>
        <v>1698.0179492385773</v>
      </c>
      <c r="W9" s="8">
        <v>985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20392251.419999998</v>
      </c>
      <c r="C10" s="7">
        <v>18369542.289999999</v>
      </c>
      <c r="D10" s="7">
        <v>432182.07</v>
      </c>
      <c r="E10" s="7">
        <f t="shared" ref="E10" si="60">B10-C10-D10</f>
        <v>1590527.0599999989</v>
      </c>
      <c r="F10" s="7">
        <f>ROUND(E10*0.04,2)</f>
        <v>63621.08</v>
      </c>
      <c r="G10" s="7">
        <f t="shared" ref="G10" si="61">ROUND(E10*0,2)</f>
        <v>0</v>
      </c>
      <c r="H10" s="7">
        <f t="shared" ref="H10" si="62">E10-F10-G10</f>
        <v>1526905.9799999988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1526905.9799999988</v>
      </c>
      <c r="M10" s="7">
        <f t="shared" ref="M10" si="67">ROUND(L10*0.465,2)</f>
        <v>710011.28</v>
      </c>
      <c r="N10" s="7">
        <f>ROUND(L10*0.3,2)-0.01</f>
        <v>458071.77999999997</v>
      </c>
      <c r="O10" s="7">
        <f t="shared" ref="O10" si="68">ROUND(L10*0.1285,2)</f>
        <v>196207.42</v>
      </c>
      <c r="P10" s="7">
        <f t="shared" ref="P10" si="69">ROUND((L10*0.07)*0.9,2)</f>
        <v>96195.08</v>
      </c>
      <c r="Q10" s="7">
        <f t="shared" ref="Q10" si="70">ROUND(L10*0.01,2)</f>
        <v>15269.06</v>
      </c>
      <c r="R10" s="7">
        <f t="shared" ref="R10" si="71">ROUND((L10*0.0075)*0.9,2)</f>
        <v>10306.620000000001</v>
      </c>
      <c r="S10" s="7">
        <f t="shared" ref="S10" si="72">ROUND((L10*0.0075)*0.9,2)</f>
        <v>10306.620000000001</v>
      </c>
      <c r="T10" s="7">
        <f>ROUND(L10*0.02,2)</f>
        <v>30538.12</v>
      </c>
      <c r="U10" s="7">
        <f t="shared" ref="U10" si="73">ROUND(M10*0,2)</f>
        <v>0</v>
      </c>
      <c r="V10" s="16">
        <f t="shared" ref="V10" si="74">E10/W10</f>
        <v>1614.7482842639583</v>
      </c>
      <c r="W10" s="8">
        <v>985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19500693.620000001</v>
      </c>
      <c r="C11" s="7">
        <v>17460997.09</v>
      </c>
      <c r="D11" s="7">
        <v>382039.03</v>
      </c>
      <c r="E11" s="7">
        <f t="shared" ref="E11" si="75">B11-C11-D11</f>
        <v>1657657.5000000012</v>
      </c>
      <c r="F11" s="7">
        <f>ROUND(E11*0.04,2)</f>
        <v>66306.3</v>
      </c>
      <c r="G11" s="7">
        <f t="shared" ref="G11" si="76">ROUND(E11*0,2)</f>
        <v>0</v>
      </c>
      <c r="H11" s="7">
        <f t="shared" ref="H11" si="77">E11-F11-G11</f>
        <v>1591351.2000000011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1591351.2000000011</v>
      </c>
      <c r="M11" s="7">
        <f t="shared" ref="M11" si="82">ROUND(L11*0.465,2)</f>
        <v>739978.31</v>
      </c>
      <c r="N11" s="7">
        <f>ROUND(L11*0.3,2)</f>
        <v>477405.36</v>
      </c>
      <c r="O11" s="7">
        <f t="shared" ref="O11" si="83">ROUND(L11*0.1285,2)</f>
        <v>204488.63</v>
      </c>
      <c r="P11" s="7">
        <f t="shared" ref="P11" si="84">ROUND((L11*0.07)*0.9,2)</f>
        <v>100255.13</v>
      </c>
      <c r="Q11" s="7">
        <f t="shared" ref="Q11" si="85">ROUND(L11*0.01,2)</f>
        <v>15913.51</v>
      </c>
      <c r="R11" s="7">
        <f t="shared" ref="R11" si="86">ROUND((L11*0.0075)*0.9,2)</f>
        <v>10741.62</v>
      </c>
      <c r="S11" s="7">
        <f t="shared" ref="S11" si="87">ROUND((L11*0.0075)*0.9,2)</f>
        <v>10741.62</v>
      </c>
      <c r="T11" s="7">
        <f>ROUND(L11*0.02,2)</f>
        <v>31827.02</v>
      </c>
      <c r="U11" s="7">
        <f t="shared" ref="U11" si="88">ROUND(M11*0,2)</f>
        <v>0</v>
      </c>
      <c r="V11" s="16">
        <f t="shared" ref="V11" si="89">E11/W11</f>
        <v>1676.0945399393338</v>
      </c>
      <c r="W11" s="8">
        <v>989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19215842.109999999</v>
      </c>
      <c r="C12" s="7">
        <v>17212038.879999999</v>
      </c>
      <c r="D12" s="7">
        <v>382105.41000000003</v>
      </c>
      <c r="E12" s="7">
        <f t="shared" ref="E12" si="90">B12-C12-D12</f>
        <v>1621697.8200000003</v>
      </c>
      <c r="F12" s="7">
        <f>ROUND(E12*0.04,2)</f>
        <v>64867.91</v>
      </c>
      <c r="G12" s="7">
        <f t="shared" ref="G12" si="91">ROUND(E12*0,2)</f>
        <v>0</v>
      </c>
      <c r="H12" s="7">
        <f t="shared" ref="H12" si="92">E12-F12-G12</f>
        <v>1556829.9100000004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1556829.9100000004</v>
      </c>
      <c r="M12" s="7">
        <f t="shared" ref="M12" si="97">ROUND(L12*0.465,2)</f>
        <v>723925.91</v>
      </c>
      <c r="N12" s="7">
        <f>ROUND(L12*0.3,2)+0.01</f>
        <v>467048.98</v>
      </c>
      <c r="O12" s="7">
        <f t="shared" ref="O12" si="98">ROUND(L12*0.1285,2)</f>
        <v>200052.64</v>
      </c>
      <c r="P12" s="7">
        <f t="shared" ref="P12" si="99">ROUND((L12*0.07)*0.9,2)</f>
        <v>98080.28</v>
      </c>
      <c r="Q12" s="7">
        <f t="shared" ref="Q12" si="100">ROUND(L12*0.01,2)</f>
        <v>15568.3</v>
      </c>
      <c r="R12" s="7">
        <f t="shared" ref="R12" si="101">ROUND((L12*0.0075)*0.9,2)</f>
        <v>10508.6</v>
      </c>
      <c r="S12" s="7">
        <f t="shared" ref="S12" si="102">ROUND((L12*0.0075)*0.9,2)</f>
        <v>10508.6</v>
      </c>
      <c r="T12" s="7">
        <f>ROUND(L12*0.02,2)</f>
        <v>31136.6</v>
      </c>
      <c r="U12" s="7">
        <f t="shared" ref="U12" si="103">ROUND(M12*0,2)</f>
        <v>0</v>
      </c>
      <c r="V12" s="16">
        <f t="shared" ref="V12" si="104">E12/W12</f>
        <v>1646.3937258883252</v>
      </c>
      <c r="W12" s="8">
        <v>985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19837644.079999998</v>
      </c>
      <c r="C13" s="7">
        <v>17976539.890000001</v>
      </c>
      <c r="D13" s="7">
        <v>410872.57000000007</v>
      </c>
      <c r="E13" s="7">
        <f t="shared" ref="E13" si="105">B13-C13-D13</f>
        <v>1450231.6199999976</v>
      </c>
      <c r="F13" s="7">
        <f>ROUND(E13*0.04,2)+0.01</f>
        <v>58009.270000000004</v>
      </c>
      <c r="G13" s="7">
        <f t="shared" ref="G13" si="106">ROUND(E13*0,2)</f>
        <v>0</v>
      </c>
      <c r="H13" s="7">
        <f t="shared" ref="H13" si="107">E13-F13-G13</f>
        <v>1392222.3499999975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1392222.3499999975</v>
      </c>
      <c r="M13" s="7">
        <f t="shared" ref="M13" si="112">ROUND(L13*0.465,2)</f>
        <v>647383.39</v>
      </c>
      <c r="N13" s="7">
        <f>ROUND(L13*0.3,2)+0.02</f>
        <v>417666.72000000003</v>
      </c>
      <c r="O13" s="7">
        <f t="shared" ref="O13" si="113">ROUND(L13*0.1285,2)</f>
        <v>178900.57</v>
      </c>
      <c r="P13" s="7">
        <f t="shared" ref="P13" si="114">ROUND((L13*0.07)*0.9,2)</f>
        <v>87710.01</v>
      </c>
      <c r="Q13" s="7">
        <f t="shared" ref="Q13" si="115">ROUND(L13*0.01,2)</f>
        <v>13922.22</v>
      </c>
      <c r="R13" s="7">
        <f t="shared" ref="R13" si="116">ROUND((L13*0.0075)*0.9,2)</f>
        <v>9397.5</v>
      </c>
      <c r="S13" s="7">
        <f t="shared" ref="S13" si="117">ROUND((L13*0.0075)*0.9,2)</f>
        <v>9397.5</v>
      </c>
      <c r="T13" s="7">
        <f>ROUND(L13*0.02,2)-0.01</f>
        <v>27844.440000000002</v>
      </c>
      <c r="U13" s="7">
        <f t="shared" ref="U13" si="118">ROUND(M13*0,2)</f>
        <v>0</v>
      </c>
      <c r="V13" s="16">
        <f t="shared" ref="V13" si="119">E13/W13</f>
        <v>1479.8281836734668</v>
      </c>
      <c r="W13" s="8">
        <v>980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20063663.210000001</v>
      </c>
      <c r="C14" s="7">
        <v>17964796.690000001</v>
      </c>
      <c r="D14" s="7">
        <v>385782.89</v>
      </c>
      <c r="E14" s="7">
        <f t="shared" ref="E14" si="120">B14-C14-D14</f>
        <v>1713083.6299999994</v>
      </c>
      <c r="F14" s="7">
        <f>ROUND(E14*0.04,2)+0.01</f>
        <v>68523.360000000001</v>
      </c>
      <c r="G14" s="7">
        <f t="shared" ref="G14" si="121">ROUND(E14*0,2)</f>
        <v>0</v>
      </c>
      <c r="H14" s="7">
        <f t="shared" ref="H14" si="122">E14-F14-G14</f>
        <v>1644560.2699999993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1644560.2699999993</v>
      </c>
      <c r="M14" s="7">
        <f t="shared" ref="M14" si="127">ROUND(L14*0.465,2)</f>
        <v>764720.53</v>
      </c>
      <c r="N14" s="7">
        <f>ROUND(L14*0.3,2)+0.01</f>
        <v>493368.09</v>
      </c>
      <c r="O14" s="7">
        <f t="shared" ref="O14" si="128">ROUND(L14*0.1285,2)</f>
        <v>211325.99</v>
      </c>
      <c r="P14" s="7">
        <f t="shared" ref="P14" si="129">ROUND((L14*0.07)*0.9,2)</f>
        <v>103607.3</v>
      </c>
      <c r="Q14" s="7">
        <f t="shared" ref="Q14" si="130">ROUND(L14*0.01,2)</f>
        <v>16445.599999999999</v>
      </c>
      <c r="R14" s="7">
        <f t="shared" ref="R14" si="131">ROUND((L14*0.0075)*0.9,2)</f>
        <v>11100.78</v>
      </c>
      <c r="S14" s="7">
        <f t="shared" ref="S14" si="132">ROUND((L14*0.0075)*0.9,2)</f>
        <v>11100.78</v>
      </c>
      <c r="T14" s="7">
        <f>ROUND(L14*0.02,2)-0.01</f>
        <v>32891.199999999997</v>
      </c>
      <c r="U14" s="7">
        <f t="shared" ref="U14" si="133">ROUND(M14*0,2)</f>
        <v>0</v>
      </c>
      <c r="V14" s="16">
        <f t="shared" ref="V14" si="134">E14/W14</f>
        <v>1767.888163054695</v>
      </c>
      <c r="W14" s="8">
        <v>969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19832148.489999998</v>
      </c>
      <c r="C15" s="7">
        <v>17701308.780000001</v>
      </c>
      <c r="D15" s="7">
        <v>410641.27</v>
      </c>
      <c r="E15" s="7">
        <f t="shared" ref="E15" si="135">B15-C15-D15</f>
        <v>1720198.4399999972</v>
      </c>
      <c r="F15" s="7">
        <f>ROUND(E15*0.04,2)</f>
        <v>68807.94</v>
      </c>
      <c r="G15" s="7">
        <f t="shared" ref="G15" si="136">ROUND(E15*0,2)</f>
        <v>0</v>
      </c>
      <c r="H15" s="7">
        <f t="shared" ref="H15" si="137">E15-F15-G15</f>
        <v>1651390.4999999972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1651390.4999999972</v>
      </c>
      <c r="M15" s="7">
        <f t="shared" ref="M15" si="142">ROUND(L15*0.465,2)</f>
        <v>767896.58</v>
      </c>
      <c r="N15" s="7">
        <f>ROUND(L15*0.3,2)-0.02</f>
        <v>495417.13</v>
      </c>
      <c r="O15" s="7">
        <f t="shared" ref="O15" si="143">ROUND(L15*0.1285,2)</f>
        <v>212203.68</v>
      </c>
      <c r="P15" s="7">
        <f t="shared" ref="P15" si="144">ROUND((L15*0.07)*0.9,2)</f>
        <v>104037.6</v>
      </c>
      <c r="Q15" s="7">
        <f t="shared" ref="Q15" si="145">ROUND(L15*0.01,2)</f>
        <v>16513.91</v>
      </c>
      <c r="R15" s="7">
        <f t="shared" ref="R15" si="146">ROUND((L15*0.0075)*0.9,2)</f>
        <v>11146.89</v>
      </c>
      <c r="S15" s="7">
        <f t="shared" ref="S15" si="147">ROUND((L15*0.0075)*0.9,2)</f>
        <v>11146.89</v>
      </c>
      <c r="T15" s="7">
        <f>ROUND(L15*0.02,2)+0.01</f>
        <v>33027.82</v>
      </c>
      <c r="U15" s="7">
        <f t="shared" ref="U15" si="148">ROUND(M15*0,2)</f>
        <v>0</v>
      </c>
      <c r="V15" s="16">
        <f t="shared" ref="V15" si="149">E15/W15</f>
        <v>1751.7295723014226</v>
      </c>
      <c r="W15" s="8">
        <v>982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18053890.131000001</v>
      </c>
      <c r="C16" s="7">
        <v>16195222.360000001</v>
      </c>
      <c r="D16" s="7">
        <v>392372.12</v>
      </c>
      <c r="E16" s="7">
        <f t="shared" ref="E16" si="150">B16-C16-D16</f>
        <v>1466295.6509999996</v>
      </c>
      <c r="F16" s="7">
        <f>ROUND(E16*0.04,2)</f>
        <v>58651.83</v>
      </c>
      <c r="G16" s="7">
        <f t="shared" ref="G16" si="151">ROUND(E16*0,2)</f>
        <v>0</v>
      </c>
      <c r="H16" s="7">
        <f t="shared" ref="H16" si="152">E16-F16-G16</f>
        <v>1407643.8209999995</v>
      </c>
      <c r="I16" s="7">
        <f t="shared" ref="I16" si="153">ROUND(H16*0,2)</f>
        <v>0</v>
      </c>
      <c r="J16" s="7">
        <f t="shared" ref="J16" si="154">ROUND((I16*0.58)+((I16*0.42)*0.1),2)</f>
        <v>0</v>
      </c>
      <c r="K16" s="7">
        <f t="shared" ref="K16" si="155">ROUND((I16*0.42)*0.9,2)</f>
        <v>0</v>
      </c>
      <c r="L16" s="18">
        <f t="shared" ref="L16" si="156">IF(J16+K16=I16,H16-I16,"ERROR")</f>
        <v>1407643.8209999995</v>
      </c>
      <c r="M16" s="7">
        <f t="shared" ref="M16" si="157">ROUND(L16*0.465,2)</f>
        <v>654554.38</v>
      </c>
      <c r="N16" s="7">
        <f>ROUND(L16*0.3,2)-0.02</f>
        <v>422293.13</v>
      </c>
      <c r="O16" s="7">
        <f t="shared" ref="O16" si="158">ROUND(L16*0.1285,2)</f>
        <v>180882.23</v>
      </c>
      <c r="P16" s="7">
        <f t="shared" ref="P16" si="159">ROUND((L16*0.07)*0.9,2)</f>
        <v>88681.56</v>
      </c>
      <c r="Q16" s="7">
        <f t="shared" ref="Q16" si="160">ROUND(L16*0.01,2)</f>
        <v>14076.44</v>
      </c>
      <c r="R16" s="7">
        <f t="shared" ref="R16" si="161">ROUND((L16*0.0075)*0.9,2)</f>
        <v>9501.6</v>
      </c>
      <c r="S16" s="7">
        <f t="shared" ref="S16" si="162">ROUND((L16*0.0075)*0.9,2)</f>
        <v>9501.6</v>
      </c>
      <c r="T16" s="7">
        <f>ROUND(L16*0.02,2)</f>
        <v>28152.880000000001</v>
      </c>
      <c r="U16" s="7">
        <f t="shared" ref="U16" si="163">ROUND(M16*0,2)</f>
        <v>0</v>
      </c>
      <c r="V16" s="16">
        <f t="shared" ref="V16" si="164">E16/W16</f>
        <v>1502.3521014344258</v>
      </c>
      <c r="W16" s="8">
        <v>976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17278818.68</v>
      </c>
      <c r="C17" s="7">
        <v>15543831.359999999</v>
      </c>
      <c r="D17" s="7">
        <v>381737.35000000003</v>
      </c>
      <c r="E17" s="7">
        <f t="shared" ref="E17" si="165">B17-C17-D17</f>
        <v>1353249.9700000002</v>
      </c>
      <c r="F17" s="7">
        <f>ROUND(E17*0.04,2)</f>
        <v>54130</v>
      </c>
      <c r="G17" s="7">
        <f t="shared" ref="G17" si="166">ROUND(E17*0,2)</f>
        <v>0</v>
      </c>
      <c r="H17" s="7">
        <f t="shared" ref="H17" si="167">E17-F17-G17</f>
        <v>1299119.9700000002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1299119.9700000002</v>
      </c>
      <c r="M17" s="7">
        <f t="shared" ref="M17" si="172">ROUND(L17*0.465,2)</f>
        <v>604090.79</v>
      </c>
      <c r="N17" s="7">
        <f>ROUND(L17*0.3,2)-0.01</f>
        <v>389735.98</v>
      </c>
      <c r="O17" s="7">
        <f t="shared" ref="O17" si="173">ROUND(L17*0.1285,2)</f>
        <v>166936.92000000001</v>
      </c>
      <c r="P17" s="7">
        <f t="shared" ref="P17" si="174">ROUND((L17*0.07)*0.9,2)</f>
        <v>81844.56</v>
      </c>
      <c r="Q17" s="7">
        <f t="shared" ref="Q17" si="175">ROUND(L17*0.01,2)</f>
        <v>12991.2</v>
      </c>
      <c r="R17" s="7">
        <f t="shared" ref="R17" si="176">ROUND((L17*0.0075)*0.9,2)</f>
        <v>8769.06</v>
      </c>
      <c r="S17" s="7">
        <f t="shared" ref="S17" si="177">ROUND((L17*0.0075)*0.9,2)</f>
        <v>8769.06</v>
      </c>
      <c r="T17" s="7">
        <f>ROUND(L17*0.02,2)</f>
        <v>25982.400000000001</v>
      </c>
      <c r="U17" s="7">
        <f t="shared" ref="U17" si="178">ROUND(M17*0,2)</f>
        <v>0</v>
      </c>
      <c r="V17" s="16">
        <f t="shared" ref="V17" si="179">E17/W17</f>
        <v>1382.277803881512</v>
      </c>
      <c r="W17" s="8">
        <v>979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19668365.029999997</v>
      </c>
      <c r="C18" s="7">
        <v>17648549.620000001</v>
      </c>
      <c r="D18" s="7">
        <v>412210.99</v>
      </c>
      <c r="E18" s="7">
        <f t="shared" ref="E18" si="180">B18-C18-D18</f>
        <v>1607604.4199999964</v>
      </c>
      <c r="F18" s="7">
        <f>ROUND(E18*0.04,2)-0.01</f>
        <v>64304.17</v>
      </c>
      <c r="G18" s="7">
        <f t="shared" ref="G18" si="181">ROUND(E18*0,2)</f>
        <v>0</v>
      </c>
      <c r="H18" s="7">
        <f t="shared" ref="H18" si="182">E18-F18-G18</f>
        <v>1543300.2499999965</v>
      </c>
      <c r="I18" s="7">
        <f t="shared" ref="I18" si="183">ROUND(H18*0,2)</f>
        <v>0</v>
      </c>
      <c r="J18" s="7">
        <f t="shared" ref="J18" si="184">ROUND((I18*0.58)+((I18*0.42)*0.1),2)</f>
        <v>0</v>
      </c>
      <c r="K18" s="7">
        <f t="shared" ref="K18" si="185">ROUND((I18*0.42)*0.9,2)</f>
        <v>0</v>
      </c>
      <c r="L18" s="18">
        <f t="shared" ref="L18" si="186">IF(J18+K18=I18,H18-I18,"ERROR")</f>
        <v>1543300.2499999965</v>
      </c>
      <c r="M18" s="7">
        <f t="shared" ref="M18" si="187">ROUND(L18*0.465,2)</f>
        <v>717634.62</v>
      </c>
      <c r="N18" s="7">
        <f>ROUND(L18*0.3,2)</f>
        <v>462990.07</v>
      </c>
      <c r="O18" s="7">
        <f t="shared" ref="O18" si="188">ROUND(L18*0.1285,2)</f>
        <v>198314.08</v>
      </c>
      <c r="P18" s="7">
        <f t="shared" ref="P18" si="189">ROUND((L18*0.07)*0.9,2)</f>
        <v>97227.92</v>
      </c>
      <c r="Q18" s="7">
        <f t="shared" ref="Q18" si="190">ROUND(L18*0.01,2)</f>
        <v>15433</v>
      </c>
      <c r="R18" s="7">
        <f t="shared" ref="R18" si="191">ROUND((L18*0.0075)*0.9,2)</f>
        <v>10417.280000000001</v>
      </c>
      <c r="S18" s="7">
        <f t="shared" ref="S18" si="192">ROUND((L18*0.0075)*0.9,2)</f>
        <v>10417.280000000001</v>
      </c>
      <c r="T18" s="7">
        <f>ROUND(L18*0.02,2)</f>
        <v>30866</v>
      </c>
      <c r="U18" s="7">
        <f t="shared" ref="U18" si="193">ROUND(M18*0,2)</f>
        <v>0</v>
      </c>
      <c r="V18" s="16">
        <f t="shared" ref="V18" si="194">E18/W18</f>
        <v>1633.744329268289</v>
      </c>
      <c r="W18" s="8">
        <v>984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17974863.219999999</v>
      </c>
      <c r="C19" s="7">
        <v>16189748.229999997</v>
      </c>
      <c r="D19" s="7">
        <v>342449.7</v>
      </c>
      <c r="E19" s="7">
        <f t="shared" ref="E19" si="195">B19-C19-D19</f>
        <v>1442665.2900000021</v>
      </c>
      <c r="F19" s="7">
        <f>ROUND(E19*0.04,2)+0.01</f>
        <v>57706.62</v>
      </c>
      <c r="G19" s="7">
        <f t="shared" ref="G19" si="196">ROUND(E19*0,2)</f>
        <v>0</v>
      </c>
      <c r="H19" s="7">
        <f t="shared" ref="H19" si="197">E19-F19-G19</f>
        <v>1384958.670000002</v>
      </c>
      <c r="I19" s="7">
        <f t="shared" ref="I19" si="198">ROUND(H19*0,2)</f>
        <v>0</v>
      </c>
      <c r="J19" s="7">
        <f t="shared" ref="J19" si="199">ROUND((I19*0.58)+((I19*0.42)*0.1),2)</f>
        <v>0</v>
      </c>
      <c r="K19" s="7">
        <f t="shared" ref="K19" si="200">ROUND((I19*0.42)*0.9,2)</f>
        <v>0</v>
      </c>
      <c r="L19" s="18">
        <f t="shared" ref="L19" si="201">IF(J19+K19=I19,H19-I19,"ERROR")</f>
        <v>1384958.670000002</v>
      </c>
      <c r="M19" s="7">
        <f t="shared" ref="M19" si="202">ROUND(L19*0.465,2)</f>
        <v>644005.78</v>
      </c>
      <c r="N19" s="7">
        <f>ROUND(L19*0.3,2)-0.01</f>
        <v>415487.58999999997</v>
      </c>
      <c r="O19" s="7">
        <f t="shared" ref="O19" si="203">ROUND(L19*0.1285,2)</f>
        <v>177967.19</v>
      </c>
      <c r="P19" s="7">
        <f t="shared" ref="P19" si="204">ROUND((L19*0.07)*0.9,2)</f>
        <v>87252.4</v>
      </c>
      <c r="Q19" s="7">
        <f t="shared" ref="Q19" si="205">ROUND(L19*0.01,2)</f>
        <v>13849.59</v>
      </c>
      <c r="R19" s="7">
        <f t="shared" ref="R19" si="206">ROUND((L19*0.0075)*0.9,2)</f>
        <v>9348.4699999999993</v>
      </c>
      <c r="S19" s="7">
        <f t="shared" ref="S19" si="207">ROUND((L19*0.0075)*0.9,2)</f>
        <v>9348.4699999999993</v>
      </c>
      <c r="T19" s="7">
        <f>ROUND(L19*0.02,2)+0.01</f>
        <v>27699.179999999997</v>
      </c>
      <c r="U19" s="7">
        <f t="shared" ref="U19" si="208">ROUND(M19*0,2)</f>
        <v>0</v>
      </c>
      <c r="V19" s="16">
        <f t="shared" ref="V19" si="209">E19/W19</f>
        <v>1464.6348121827432</v>
      </c>
      <c r="W19" s="8">
        <v>985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17050192.289999999</v>
      </c>
      <c r="C20" s="7">
        <v>15291762.519999998</v>
      </c>
      <c r="D20" s="7">
        <v>337330.92</v>
      </c>
      <c r="E20" s="7">
        <f t="shared" ref="E20" si="210">B20-C20-D20</f>
        <v>1421098.8500000015</v>
      </c>
      <c r="F20" s="7">
        <f>ROUND(E20*0.04,2)+0.01</f>
        <v>56843.96</v>
      </c>
      <c r="G20" s="7">
        <f t="shared" ref="G20" si="211">ROUND(E20*0,2)</f>
        <v>0</v>
      </c>
      <c r="H20" s="7">
        <f t="shared" ref="H20" si="212">E20-F20-G20</f>
        <v>1364254.8900000015</v>
      </c>
      <c r="I20" s="7">
        <f t="shared" ref="I20" si="213">ROUND(H20*0,2)</f>
        <v>0</v>
      </c>
      <c r="J20" s="7">
        <f t="shared" ref="J20" si="214">ROUND((I20*0.58)+((I20*0.42)*0.1),2)</f>
        <v>0</v>
      </c>
      <c r="K20" s="7">
        <f t="shared" ref="K20" si="215">ROUND((I20*0.42)*0.9,2)</f>
        <v>0</v>
      </c>
      <c r="L20" s="18">
        <f t="shared" ref="L20" si="216">IF(J20+K20=I20,H20-I20,"ERROR")</f>
        <v>1364254.8900000015</v>
      </c>
      <c r="M20" s="7">
        <f t="shared" ref="M20" si="217">ROUND(L20*0.465,2)</f>
        <v>634378.52</v>
      </c>
      <c r="N20" s="7">
        <f>ROUND(L20*0.3,2)</f>
        <v>409276.47</v>
      </c>
      <c r="O20" s="7">
        <f t="shared" ref="O20" si="218">ROUND(L20*0.1285,2)</f>
        <v>175306.75</v>
      </c>
      <c r="P20" s="7">
        <f t="shared" ref="P20" si="219">ROUND((L20*0.07)*0.9,2)</f>
        <v>85948.06</v>
      </c>
      <c r="Q20" s="7">
        <f t="shared" ref="Q20" si="220">ROUND(L20*0.01,2)</f>
        <v>13642.55</v>
      </c>
      <c r="R20" s="7">
        <f t="shared" ref="R20" si="221">ROUND((L20*0.0075)*0.9,2)</f>
        <v>9208.7199999999993</v>
      </c>
      <c r="S20" s="7">
        <f t="shared" ref="S20" si="222">ROUND((L20*0.0075)*0.9,2)</f>
        <v>9208.7199999999993</v>
      </c>
      <c r="T20" s="7">
        <f>ROUND(L20*0.02,2)</f>
        <v>27285.1</v>
      </c>
      <c r="U20" s="7">
        <f t="shared" ref="U20" si="223">ROUND(M20*0,2)</f>
        <v>0</v>
      </c>
      <c r="V20" s="16">
        <f t="shared" ref="V20" si="224">E20/W20</f>
        <v>1438.3591599190299</v>
      </c>
      <c r="W20" s="8">
        <v>988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19174414.559999999</v>
      </c>
      <c r="C21" s="7">
        <v>17080194.809999999</v>
      </c>
      <c r="D21" s="7">
        <v>361165.19999999995</v>
      </c>
      <c r="E21" s="7">
        <f t="shared" ref="E21" si="225">B21-C21-D21</f>
        <v>1733054.55</v>
      </c>
      <c r="F21" s="7">
        <f>ROUND(E21*0.04,2)</f>
        <v>69322.179999999993</v>
      </c>
      <c r="G21" s="7">
        <f t="shared" ref="G21" si="226">ROUND(E21*0,2)</f>
        <v>0</v>
      </c>
      <c r="H21" s="7">
        <f t="shared" ref="H21" si="227">E21-F21-G21</f>
        <v>1663732.37</v>
      </c>
      <c r="I21" s="7">
        <f t="shared" ref="I21" si="228">ROUND(H21*0,2)</f>
        <v>0</v>
      </c>
      <c r="J21" s="7">
        <f t="shared" ref="J21" si="229">ROUND((I21*0.58)+((I21*0.42)*0.1),2)</f>
        <v>0</v>
      </c>
      <c r="K21" s="7">
        <f t="shared" ref="K21" si="230">ROUND((I21*0.42)*0.9,2)</f>
        <v>0</v>
      </c>
      <c r="L21" s="18">
        <f t="shared" ref="L21" si="231">IF(J21+K21=I21,H21-I21,"ERROR")</f>
        <v>1663732.37</v>
      </c>
      <c r="M21" s="7">
        <f t="shared" ref="M21" si="232">ROUND(L21*0.465,2)</f>
        <v>773635.55</v>
      </c>
      <c r="N21" s="7">
        <f>ROUND(L21*0.3,2)+0.02</f>
        <v>499119.73000000004</v>
      </c>
      <c r="O21" s="7">
        <f t="shared" ref="O21" si="233">ROUND(L21*0.1285,2)</f>
        <v>213789.61</v>
      </c>
      <c r="P21" s="7">
        <f t="shared" ref="P21" si="234">ROUND((L21*0.07)*0.9,2)</f>
        <v>104815.14</v>
      </c>
      <c r="Q21" s="7">
        <f t="shared" ref="Q21" si="235">ROUND(L21*0.01,2)</f>
        <v>16637.32</v>
      </c>
      <c r="R21" s="7">
        <f t="shared" ref="R21" si="236">ROUND((L21*0.0075)*0.9,2)</f>
        <v>11230.19</v>
      </c>
      <c r="S21" s="7">
        <f t="shared" ref="S21" si="237">ROUND((L21*0.0075)*0.9,2)</f>
        <v>11230.19</v>
      </c>
      <c r="T21" s="7">
        <f>ROUND(L21*0.02,2)-0.01</f>
        <v>33274.639999999999</v>
      </c>
      <c r="U21" s="7">
        <f t="shared" ref="U21" si="238">ROUND(M21*0,2)</f>
        <v>0</v>
      </c>
      <c r="V21" s="16">
        <f t="shared" ref="V21" si="239">E21/W21</f>
        <v>1750.5601515151516</v>
      </c>
      <c r="W21" s="8">
        <v>990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19614839.719999999</v>
      </c>
      <c r="C22" s="7">
        <v>17474689.609999999</v>
      </c>
      <c r="D22" s="7">
        <v>369870.86</v>
      </c>
      <c r="E22" s="7">
        <f t="shared" ref="E22" si="240">B22-C22-D22</f>
        <v>1770279.2499999995</v>
      </c>
      <c r="F22" s="7">
        <f>ROUND(E22*0.04,2)+0.01</f>
        <v>70811.179999999993</v>
      </c>
      <c r="G22" s="7">
        <f t="shared" ref="G22" si="241">ROUND(E22*0,2)</f>
        <v>0</v>
      </c>
      <c r="H22" s="7">
        <f t="shared" ref="H22" si="242">E22-F22-G22</f>
        <v>1699468.0699999996</v>
      </c>
      <c r="I22" s="7">
        <f t="shared" ref="I22" si="243">ROUND(H22*0,2)</f>
        <v>0</v>
      </c>
      <c r="J22" s="7">
        <f t="shared" ref="J22" si="244">ROUND((I22*0.58)+((I22*0.42)*0.1),2)</f>
        <v>0</v>
      </c>
      <c r="K22" s="7">
        <f t="shared" ref="K22" si="245">ROUND((I22*0.42)*0.9,2)</f>
        <v>0</v>
      </c>
      <c r="L22" s="18">
        <f t="shared" ref="L22" si="246">IF(J22+K22=I22,H22-I22,"ERROR")</f>
        <v>1699468.0699999996</v>
      </c>
      <c r="M22" s="7">
        <f t="shared" ref="M22" si="247">ROUND(L22*0.465,2)</f>
        <v>790252.65</v>
      </c>
      <c r="N22" s="7">
        <f>ROUND(L22*0.3,2)</f>
        <v>509840.42</v>
      </c>
      <c r="O22" s="7">
        <f t="shared" ref="O22" si="248">ROUND(L22*0.1285,2)</f>
        <v>218381.65</v>
      </c>
      <c r="P22" s="7">
        <f t="shared" ref="P22" si="249">ROUND((L22*0.07)*0.9,2)</f>
        <v>107066.49</v>
      </c>
      <c r="Q22" s="7">
        <f t="shared" ref="Q22" si="250">ROUND(L22*0.01,2)</f>
        <v>16994.68</v>
      </c>
      <c r="R22" s="7">
        <f t="shared" ref="R22" si="251">ROUND((L22*0.0075)*0.9,2)</f>
        <v>11471.41</v>
      </c>
      <c r="S22" s="7">
        <f t="shared" ref="S22" si="252">ROUND((L22*0.0075)*0.9,2)</f>
        <v>11471.41</v>
      </c>
      <c r="T22" s="7">
        <f>ROUND(L22*0.02,2)</f>
        <v>33989.360000000001</v>
      </c>
      <c r="U22" s="7">
        <f t="shared" ref="U22" si="253">ROUND(M22*0,2)</f>
        <v>0</v>
      </c>
      <c r="V22" s="16">
        <f t="shared" ref="V22" si="254">E22/W22</f>
        <v>1789.968907987866</v>
      </c>
      <c r="W22" s="8">
        <v>989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19390739.099999998</v>
      </c>
      <c r="C23" s="7">
        <v>17410335.770000003</v>
      </c>
      <c r="D23" s="7">
        <v>372273.81000000006</v>
      </c>
      <c r="E23" s="7">
        <f t="shared" ref="E23" si="255">B23-C23-D23</f>
        <v>1608129.5199999944</v>
      </c>
      <c r="F23" s="7">
        <f>ROUND(E23*0.04,2)</f>
        <v>64325.18</v>
      </c>
      <c r="G23" s="7">
        <f t="shared" ref="G23" si="256">ROUND(E23*0,2)</f>
        <v>0</v>
      </c>
      <c r="H23" s="7">
        <f t="shared" ref="H23" si="257">E23-F23-G23</f>
        <v>1543804.3399999945</v>
      </c>
      <c r="I23" s="7">
        <f t="shared" ref="I23" si="258">ROUND(H23*0,2)</f>
        <v>0</v>
      </c>
      <c r="J23" s="7">
        <f t="shared" ref="J23" si="259">ROUND((I23*0.58)+((I23*0.42)*0.1),2)</f>
        <v>0</v>
      </c>
      <c r="K23" s="7">
        <f t="shared" ref="K23" si="260">ROUND((I23*0.42)*0.9,2)</f>
        <v>0</v>
      </c>
      <c r="L23" s="18">
        <f t="shared" ref="L23" si="261">IF(J23+K23=I23,H23-I23,"ERROR")</f>
        <v>1543804.3399999945</v>
      </c>
      <c r="M23" s="7">
        <f t="shared" ref="M23" si="262">ROUND(L23*0.465,2)</f>
        <v>717869.02</v>
      </c>
      <c r="N23" s="7">
        <f>ROUND(L23*0.3,2)+0.01</f>
        <v>463141.31</v>
      </c>
      <c r="O23" s="7">
        <f t="shared" ref="O23" si="263">ROUND(L23*0.1285,2)</f>
        <v>198378.86</v>
      </c>
      <c r="P23" s="7">
        <f t="shared" ref="P23" si="264">ROUND((L23*0.07)*0.9,2)</f>
        <v>97259.67</v>
      </c>
      <c r="Q23" s="7">
        <f t="shared" ref="Q23" si="265">ROUND(L23*0.01,2)</f>
        <v>15438.04</v>
      </c>
      <c r="R23" s="7">
        <f t="shared" ref="R23" si="266">ROUND((L23*0.0075)*0.9,2)</f>
        <v>10420.68</v>
      </c>
      <c r="S23" s="7">
        <f t="shared" ref="S23" si="267">ROUND((L23*0.0075)*0.9,2)</f>
        <v>10420.68</v>
      </c>
      <c r="T23" s="7">
        <f>ROUND(L23*0.02,2)-0.01</f>
        <v>30876.080000000002</v>
      </c>
      <c r="U23" s="7">
        <f t="shared" ref="U23" si="268">ROUND(M23*0,2)</f>
        <v>0</v>
      </c>
      <c r="V23" s="16">
        <f t="shared" ref="V23" si="269">E23/W23</f>
        <v>1627.6614574898729</v>
      </c>
      <c r="W23" s="8">
        <v>988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17440156.27</v>
      </c>
      <c r="C24" s="7">
        <v>15568867.449999999</v>
      </c>
      <c r="D24" s="7">
        <v>326452.46999999997</v>
      </c>
      <c r="E24" s="7">
        <f t="shared" ref="E24" si="270">B24-C24-D24</f>
        <v>1544836.3500000003</v>
      </c>
      <c r="F24" s="7">
        <f>ROUND(E24*0.04,2)+0.01</f>
        <v>61793.46</v>
      </c>
      <c r="G24" s="7">
        <f t="shared" ref="G24" si="271">ROUND(E24*0,2)</f>
        <v>0</v>
      </c>
      <c r="H24" s="7">
        <f t="shared" ref="H24" si="272">E24-F24-G24</f>
        <v>1483042.8900000004</v>
      </c>
      <c r="I24" s="7">
        <f t="shared" ref="I24" si="273">ROUND(H24*0,2)</f>
        <v>0</v>
      </c>
      <c r="J24" s="7">
        <f t="shared" ref="J24" si="274">ROUND((I24*0.58)+((I24*0.42)*0.1),2)</f>
        <v>0</v>
      </c>
      <c r="K24" s="7">
        <f t="shared" ref="K24" si="275">ROUND((I24*0.42)*0.9,2)</f>
        <v>0</v>
      </c>
      <c r="L24" s="18">
        <f t="shared" ref="L24" si="276">IF(J24+K24=I24,H24-I24,"ERROR")</f>
        <v>1483042.8900000004</v>
      </c>
      <c r="M24" s="7">
        <f t="shared" ref="M24" si="277">ROUND(L24*0.465,2)</f>
        <v>689614.94</v>
      </c>
      <c r="N24" s="7">
        <f>ROUND(L24*0.3,2)</f>
        <v>444912.87</v>
      </c>
      <c r="O24" s="7">
        <f t="shared" ref="O24" si="278">ROUND(L24*0.1285,2)</f>
        <v>190571.01</v>
      </c>
      <c r="P24" s="7">
        <f t="shared" ref="P24" si="279">ROUND((L24*0.07)*0.9,2)</f>
        <v>93431.7</v>
      </c>
      <c r="Q24" s="7">
        <f t="shared" ref="Q24" si="280">ROUND(L24*0.01,2)</f>
        <v>14830.43</v>
      </c>
      <c r="R24" s="7">
        <f t="shared" ref="R24" si="281">ROUND((L24*0.0075)*0.9,2)</f>
        <v>10010.540000000001</v>
      </c>
      <c r="S24" s="7">
        <f t="shared" ref="S24" si="282">ROUND((L24*0.0075)*0.9,2)</f>
        <v>10010.540000000001</v>
      </c>
      <c r="T24" s="7">
        <f>ROUND(L24*0.02,2)</f>
        <v>29660.86</v>
      </c>
      <c r="U24" s="7">
        <f t="shared" ref="U24" si="283">ROUND(M24*0,2)</f>
        <v>0</v>
      </c>
      <c r="V24" s="16">
        <f t="shared" ref="V24" si="284">E24/W24</f>
        <v>1566.7711460446251</v>
      </c>
      <c r="W24" s="8">
        <v>986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17176967.780000001</v>
      </c>
      <c r="C25" s="7">
        <v>15278693.350000001</v>
      </c>
      <c r="D25" s="7">
        <v>319535.26</v>
      </c>
      <c r="E25" s="7">
        <f t="shared" ref="E25" si="285">B25-C25-D25</f>
        <v>1578739.1699999997</v>
      </c>
      <c r="F25" s="7">
        <f>ROUND(E25*0.04,2)-0.01</f>
        <v>63149.56</v>
      </c>
      <c r="G25" s="7">
        <f t="shared" ref="G25" si="286">ROUND(E25*0,2)</f>
        <v>0</v>
      </c>
      <c r="H25" s="7">
        <f t="shared" ref="H25" si="287">E25-F25-G25</f>
        <v>1515589.6099999996</v>
      </c>
      <c r="I25" s="7">
        <f t="shared" ref="I25" si="288">ROUND(H25*0,2)</f>
        <v>0</v>
      </c>
      <c r="J25" s="7">
        <f t="shared" ref="J25" si="289">ROUND((I25*0.58)+((I25*0.42)*0.1),2)</f>
        <v>0</v>
      </c>
      <c r="K25" s="7">
        <f t="shared" ref="K25" si="290">ROUND((I25*0.42)*0.9,2)</f>
        <v>0</v>
      </c>
      <c r="L25" s="18">
        <f t="shared" ref="L25" si="291">IF(J25+K25=I25,H25-I25,"ERROR")</f>
        <v>1515589.6099999996</v>
      </c>
      <c r="M25" s="7">
        <f t="shared" ref="M25" si="292">ROUND(L25*0.465,2)</f>
        <v>704749.17</v>
      </c>
      <c r="N25" s="7">
        <f>ROUND(L25*0.3,2)-0.01</f>
        <v>454676.87</v>
      </c>
      <c r="O25" s="7">
        <f t="shared" ref="O25" si="293">ROUND(L25*0.1285,2)</f>
        <v>194753.26</v>
      </c>
      <c r="P25" s="7">
        <f t="shared" ref="P25" si="294">ROUND((L25*0.07)*0.9,2)</f>
        <v>95482.15</v>
      </c>
      <c r="Q25" s="7">
        <f t="shared" ref="Q25" si="295">ROUND(L25*0.01,2)</f>
        <v>15155.9</v>
      </c>
      <c r="R25" s="7">
        <f t="shared" ref="R25" si="296">ROUND((L25*0.0075)*0.9,2)</f>
        <v>10230.23</v>
      </c>
      <c r="S25" s="7">
        <f t="shared" ref="S25" si="297">ROUND((L25*0.0075)*0.9,2)</f>
        <v>10230.23</v>
      </c>
      <c r="T25" s="7">
        <f>ROUND(L25*0.02,2)+0.01</f>
        <v>30311.8</v>
      </c>
      <c r="U25" s="7">
        <f t="shared" ref="U25" si="298">ROUND(M25*0,2)</f>
        <v>0</v>
      </c>
      <c r="V25" s="16">
        <f t="shared" ref="V25" si="299">E25/W25</f>
        <v>1596.2984529828107</v>
      </c>
      <c r="W25" s="8">
        <v>989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17129118.939999998</v>
      </c>
      <c r="C26" s="7">
        <v>15383828.5</v>
      </c>
      <c r="D26" s="7">
        <v>311209.33</v>
      </c>
      <c r="E26" s="7">
        <f t="shared" ref="E26" si="300">B26-C26-D26</f>
        <v>1434081.1099999975</v>
      </c>
      <c r="F26" s="7">
        <f>ROUND(E26*0.04,2)</f>
        <v>57363.24</v>
      </c>
      <c r="G26" s="7">
        <f t="shared" ref="G26" si="301">ROUND(E26*0,2)</f>
        <v>0</v>
      </c>
      <c r="H26" s="7">
        <f t="shared" ref="H26" si="302">E26-F26-G26</f>
        <v>1376717.8699999976</v>
      </c>
      <c r="I26" s="7">
        <f t="shared" ref="I26" si="303">ROUND(H26*0,2)</f>
        <v>0</v>
      </c>
      <c r="J26" s="7">
        <f t="shared" ref="J26" si="304">ROUND((I26*0.58)+((I26*0.42)*0.1),2)</f>
        <v>0</v>
      </c>
      <c r="K26" s="7">
        <f t="shared" ref="K26" si="305">ROUND((I26*0.42)*0.9,2)</f>
        <v>0</v>
      </c>
      <c r="L26" s="18">
        <f t="shared" ref="L26" si="306">IF(J26+K26=I26,H26-I26,"ERROR")</f>
        <v>1376717.8699999976</v>
      </c>
      <c r="M26" s="7">
        <f t="shared" ref="M26" si="307">ROUND(L26*0.465,2)</f>
        <v>640173.81000000006</v>
      </c>
      <c r="N26" s="7">
        <f>ROUND(L26*0.3,2)-0.02</f>
        <v>413015.33999999997</v>
      </c>
      <c r="O26" s="7">
        <f t="shared" ref="O26" si="308">ROUND(L26*0.1285,2)</f>
        <v>176908.25</v>
      </c>
      <c r="P26" s="7">
        <f t="shared" ref="P26" si="309">ROUND((L26*0.07)*0.9,2)</f>
        <v>86733.23</v>
      </c>
      <c r="Q26" s="7">
        <f t="shared" ref="Q26" si="310">ROUND(L26*0.01,2)</f>
        <v>13767.18</v>
      </c>
      <c r="R26" s="7">
        <f t="shared" ref="R26" si="311">ROUND((L26*0.0075)*0.9,2)</f>
        <v>9292.85</v>
      </c>
      <c r="S26" s="7">
        <f t="shared" ref="S26" si="312">ROUND((L26*0.0075)*0.9,2)</f>
        <v>9292.85</v>
      </c>
      <c r="T26" s="7">
        <f>ROUND(L26*0.02,2)</f>
        <v>27534.36</v>
      </c>
      <c r="U26" s="7">
        <f t="shared" ref="U26" si="313">ROUND(M26*0,2)</f>
        <v>0</v>
      </c>
      <c r="V26" s="16">
        <f t="shared" ref="V26" si="314">E26/W26</f>
        <v>1448.5667777777753</v>
      </c>
      <c r="W26" s="8">
        <v>990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18560439.780000001</v>
      </c>
      <c r="C27" s="7">
        <v>16513581.420000002</v>
      </c>
      <c r="D27" s="7">
        <v>325228.78000000003</v>
      </c>
      <c r="E27" s="7">
        <f t="shared" ref="E27" si="315">B27-C27-D27</f>
        <v>1721629.5799999994</v>
      </c>
      <c r="F27" s="7">
        <f>ROUND(E27*0.04,2)+0.01</f>
        <v>68865.189999999988</v>
      </c>
      <c r="G27" s="7">
        <f t="shared" ref="G27" si="316">ROUND(E27*0,2)</f>
        <v>0</v>
      </c>
      <c r="H27" s="7">
        <f t="shared" ref="H27" si="317">E27-F27-G27</f>
        <v>1652764.3899999994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1652764.3899999994</v>
      </c>
      <c r="M27" s="7">
        <f t="shared" ref="M27" si="322">ROUND(L27*0.465,2)</f>
        <v>768535.44</v>
      </c>
      <c r="N27" s="7">
        <f>ROUND(L27*0.3,2)+0.01</f>
        <v>495829.33</v>
      </c>
      <c r="O27" s="7">
        <f t="shared" ref="O27" si="323">ROUND(L27*0.1285,2)</f>
        <v>212380.22</v>
      </c>
      <c r="P27" s="7">
        <f t="shared" ref="P27" si="324">ROUND((L27*0.07)*0.9,2)</f>
        <v>104124.16</v>
      </c>
      <c r="Q27" s="7">
        <f t="shared" ref="Q27" si="325">ROUND(L27*0.01,2)</f>
        <v>16527.64</v>
      </c>
      <c r="R27" s="7">
        <f t="shared" ref="R27" si="326">ROUND((L27*0.0075)*0.9,2)</f>
        <v>11156.16</v>
      </c>
      <c r="S27" s="7">
        <f t="shared" ref="S27" si="327">ROUND((L27*0.0075)*0.9,2)</f>
        <v>11156.16</v>
      </c>
      <c r="T27" s="7">
        <f>ROUND(L27*0.02,2)-0.01</f>
        <v>33055.279999999999</v>
      </c>
      <c r="U27" s="7">
        <f t="shared" ref="U27" si="328">ROUND(M27*0,2)</f>
        <v>0</v>
      </c>
      <c r="V27" s="16">
        <f t="shared" ref="V27" si="329">E27/W27</f>
        <v>1737.2649646821387</v>
      </c>
      <c r="W27" s="8">
        <v>991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16220942.809999999</v>
      </c>
      <c r="C28" s="7">
        <v>14526321.010000002</v>
      </c>
      <c r="D28" s="7">
        <v>313084</v>
      </c>
      <c r="E28" s="7">
        <f t="shared" ref="E28" si="330">B28-C28-D28</f>
        <v>1381537.799999997</v>
      </c>
      <c r="F28" s="7">
        <f>ROUND(E28*0.04,2)</f>
        <v>55261.51</v>
      </c>
      <c r="G28" s="7">
        <f t="shared" ref="G28" si="331">ROUND(E28*0,2)</f>
        <v>0</v>
      </c>
      <c r="H28" s="7">
        <f t="shared" ref="H28" si="332">E28-F28-G28</f>
        <v>1326276.289999997</v>
      </c>
      <c r="I28" s="7">
        <f t="shared" ref="I28" si="333">ROUND(H28*0,2)</f>
        <v>0</v>
      </c>
      <c r="J28" s="7">
        <f t="shared" ref="J28" si="334">ROUND((I28*0.58)+((I28*0.42)*0.1),2)</f>
        <v>0</v>
      </c>
      <c r="K28" s="7">
        <f t="shared" ref="K28" si="335">ROUND((I28*0.42)*0.9,2)</f>
        <v>0</v>
      </c>
      <c r="L28" s="18">
        <f t="shared" ref="L28" si="336">IF(J28+K28=I28,H28-I28,"ERROR")</f>
        <v>1326276.289999997</v>
      </c>
      <c r="M28" s="7">
        <f t="shared" ref="M28" si="337">ROUND(L28*0.465,2)</f>
        <v>616718.47</v>
      </c>
      <c r="N28" s="7">
        <f>ROUND(L28*0.3,2)+0.02</f>
        <v>397882.91000000003</v>
      </c>
      <c r="O28" s="7">
        <f t="shared" ref="O28" si="338">ROUND(L28*0.1285,2)</f>
        <v>170426.5</v>
      </c>
      <c r="P28" s="7">
        <f t="shared" ref="P28" si="339">ROUND((L28*0.07)*0.9,2)</f>
        <v>83555.41</v>
      </c>
      <c r="Q28" s="7">
        <f t="shared" ref="Q28" si="340">ROUND(L28*0.01,2)</f>
        <v>13262.76</v>
      </c>
      <c r="R28" s="7">
        <f t="shared" ref="R28" si="341">ROUND((L28*0.0075)*0.9,2)</f>
        <v>8952.36</v>
      </c>
      <c r="S28" s="7">
        <f t="shared" ref="S28" si="342">ROUND((L28*0.0075)*0.9,2)</f>
        <v>8952.36</v>
      </c>
      <c r="T28" s="7">
        <f>ROUND(L28*0.02,2)-0.01</f>
        <v>26525.52</v>
      </c>
      <c r="U28" s="7">
        <f t="shared" ref="U28" si="343">ROUND(M28*0,2)</f>
        <v>0</v>
      </c>
      <c r="V28" s="16">
        <f t="shared" ref="V28" si="344">E28/W28</f>
        <v>1458.857233368529</v>
      </c>
      <c r="W28" s="8">
        <v>947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16969542.66</v>
      </c>
      <c r="C29" s="7">
        <v>15488206.85</v>
      </c>
      <c r="D29" s="7">
        <v>299337.18</v>
      </c>
      <c r="E29" s="7">
        <f t="shared" ref="E29" si="345">B29-C29-D29</f>
        <v>1181998.6300000006</v>
      </c>
      <c r="F29" s="7">
        <f>ROUND(E29*0.04,2)-0.01</f>
        <v>47279.939999999995</v>
      </c>
      <c r="G29" s="7">
        <f t="shared" ref="G29" si="346">ROUND(E29*0,2)</f>
        <v>0</v>
      </c>
      <c r="H29" s="7">
        <f t="shared" ref="H29" si="347">E29-F29-G29</f>
        <v>1134718.6900000006</v>
      </c>
      <c r="I29" s="7">
        <f t="shared" ref="I29" si="348">ROUND(H29*0,2)</f>
        <v>0</v>
      </c>
      <c r="J29" s="7">
        <f t="shared" ref="J29" si="349">ROUND((I29*0.58)+((I29*0.42)*0.1),2)</f>
        <v>0</v>
      </c>
      <c r="K29" s="7">
        <f t="shared" ref="K29" si="350">ROUND((I29*0.42)*0.9,2)</f>
        <v>0</v>
      </c>
      <c r="L29" s="18">
        <f t="shared" ref="L29" si="351">IF(J29+K29=I29,H29-I29,"ERROR")</f>
        <v>1134718.6900000006</v>
      </c>
      <c r="M29" s="7">
        <f t="shared" ref="M29" si="352">ROUND(L29*0.465,2)</f>
        <v>527644.18999999994</v>
      </c>
      <c r="N29" s="7">
        <f>ROUND(L29*0.3,2)-0.01</f>
        <v>340415.6</v>
      </c>
      <c r="O29" s="7">
        <f t="shared" ref="O29" si="353">ROUND(L29*0.1285,2)</f>
        <v>145811.35</v>
      </c>
      <c r="P29" s="7">
        <f t="shared" ref="P29" si="354">ROUND((L29*0.07)*0.9,2)</f>
        <v>71487.28</v>
      </c>
      <c r="Q29" s="7">
        <f t="shared" ref="Q29" si="355">ROUND(L29*0.01,2)</f>
        <v>11347.19</v>
      </c>
      <c r="R29" s="7">
        <f t="shared" ref="R29" si="356">ROUND((L29*0.0075)*0.9,2)</f>
        <v>7659.35</v>
      </c>
      <c r="S29" s="7">
        <f t="shared" ref="S29" si="357">ROUND((L29*0.0075)*0.9,2)</f>
        <v>7659.35</v>
      </c>
      <c r="T29" s="7">
        <f>ROUND(L29*0.02,2)+0.01</f>
        <v>22694.379999999997</v>
      </c>
      <c r="U29" s="7">
        <f t="shared" ref="U29" si="358">ROUND(M29*0,2)</f>
        <v>0</v>
      </c>
      <c r="V29" s="16">
        <f t="shared" ref="V29" si="359">E29/W29</f>
        <v>1214.7981808838649</v>
      </c>
      <c r="W29" s="8">
        <v>973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16156347.629999999</v>
      </c>
      <c r="C30" s="7">
        <v>14454294.840000002</v>
      </c>
      <c r="D30" s="7">
        <v>298035.45999999996</v>
      </c>
      <c r="E30" s="7">
        <f t="shared" ref="E30" si="360">B30-C30-D30</f>
        <v>1404017.3299999973</v>
      </c>
      <c r="F30" s="7">
        <f t="shared" ref="F30:F35" si="361">ROUND(E30*0.04,2)</f>
        <v>56160.69</v>
      </c>
      <c r="G30" s="7">
        <f t="shared" ref="G30" si="362">ROUND(E30*0,2)</f>
        <v>0</v>
      </c>
      <c r="H30" s="7">
        <f t="shared" ref="H30" si="363">E30-F30-G30</f>
        <v>1347856.6399999973</v>
      </c>
      <c r="I30" s="7">
        <f t="shared" ref="I30" si="364">ROUND(H30*0,2)</f>
        <v>0</v>
      </c>
      <c r="J30" s="7">
        <f t="shared" ref="J30" si="365">ROUND((I30*0.58)+((I30*0.42)*0.1),2)</f>
        <v>0</v>
      </c>
      <c r="K30" s="7">
        <f t="shared" ref="K30" si="366">ROUND((I30*0.42)*0.9,2)</f>
        <v>0</v>
      </c>
      <c r="L30" s="18">
        <f t="shared" ref="L30" si="367">IF(J30+K30=I30,H30-I30,"ERROR")</f>
        <v>1347856.6399999973</v>
      </c>
      <c r="M30" s="7">
        <f t="shared" ref="M30" si="368">ROUND(L30*0.465,2)</f>
        <v>626753.34</v>
      </c>
      <c r="N30" s="7">
        <f>ROUND(L30*0.3,2)-0.01</f>
        <v>404356.98</v>
      </c>
      <c r="O30" s="7">
        <f t="shared" ref="O30" si="369">ROUND(L30*0.1285,2)</f>
        <v>173199.58</v>
      </c>
      <c r="P30" s="7">
        <f t="shared" ref="P30" si="370">ROUND((L30*0.07)*0.9,2)</f>
        <v>84914.97</v>
      </c>
      <c r="Q30" s="7">
        <f t="shared" ref="Q30" si="371">ROUND(L30*0.01,2)</f>
        <v>13478.57</v>
      </c>
      <c r="R30" s="7">
        <f t="shared" ref="R30" si="372">ROUND((L30*0.0075)*0.9,2)</f>
        <v>9098.0300000000007</v>
      </c>
      <c r="S30" s="7">
        <f t="shared" ref="S30" si="373">ROUND((L30*0.0075)*0.9,2)</f>
        <v>9098.0300000000007</v>
      </c>
      <c r="T30" s="7">
        <f>ROUND(L30*0.02,2)+0.01</f>
        <v>26957.14</v>
      </c>
      <c r="U30" s="7">
        <f t="shared" ref="U30" si="374">ROUND(M30*0,2)</f>
        <v>0</v>
      </c>
      <c r="V30" s="16">
        <f t="shared" ref="V30" si="375">E30/W30</f>
        <v>1434.1341470888633</v>
      </c>
      <c r="W30" s="8">
        <v>979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22461189.979999997</v>
      </c>
      <c r="C31" s="7">
        <v>20121614.960000001</v>
      </c>
      <c r="D31" s="7">
        <v>357859.83999999997</v>
      </c>
      <c r="E31" s="7">
        <f t="shared" ref="E31" si="376">B31-C31-D31</f>
        <v>1981715.179999996</v>
      </c>
      <c r="F31" s="7">
        <f t="shared" si="361"/>
        <v>79268.61</v>
      </c>
      <c r="G31" s="7">
        <f t="shared" ref="G31" si="377">ROUND(E31*0,2)</f>
        <v>0</v>
      </c>
      <c r="H31" s="7">
        <f t="shared" ref="H31" si="378">E31-F31-G31</f>
        <v>1902446.5699999959</v>
      </c>
      <c r="I31" s="7">
        <f t="shared" ref="I31" si="379">ROUND(H31*0,2)</f>
        <v>0</v>
      </c>
      <c r="J31" s="7">
        <f t="shared" ref="J31" si="380">ROUND((I31*0.58)+((I31*0.42)*0.1),2)</f>
        <v>0</v>
      </c>
      <c r="K31" s="7">
        <f t="shared" ref="K31" si="381">ROUND((I31*0.42)*0.9,2)</f>
        <v>0</v>
      </c>
      <c r="L31" s="18">
        <f t="shared" ref="L31" si="382">IF(J31+K31=I31,H31-I31,"ERROR")</f>
        <v>1902446.5699999959</v>
      </c>
      <c r="M31" s="7">
        <f t="shared" ref="M31" si="383">ROUND(L31*0.465,2)</f>
        <v>884637.66</v>
      </c>
      <c r="N31" s="7">
        <f>ROUND(L31*0.3,2)</f>
        <v>570733.97</v>
      </c>
      <c r="O31" s="7">
        <f t="shared" ref="O31" si="384">ROUND(L31*0.1285,2)</f>
        <v>244464.38</v>
      </c>
      <c r="P31" s="7">
        <f t="shared" ref="P31" si="385">ROUND((L31*0.07)*0.9,2)</f>
        <v>119854.13</v>
      </c>
      <c r="Q31" s="7">
        <f t="shared" ref="Q31" si="386">ROUND(L31*0.01,2)</f>
        <v>19024.47</v>
      </c>
      <c r="R31" s="7">
        <f t="shared" ref="R31" si="387">ROUND((L31*0.0075)*0.9,2)</f>
        <v>12841.51</v>
      </c>
      <c r="S31" s="7">
        <f t="shared" ref="S31" si="388">ROUND((L31*0.0075)*0.9,2)</f>
        <v>12841.51</v>
      </c>
      <c r="T31" s="7">
        <v>29443</v>
      </c>
      <c r="U31" s="7">
        <v>8605.94</v>
      </c>
      <c r="V31" s="16">
        <f t="shared" ref="V31" si="389">E31/W31</f>
        <v>2003.7565015166795</v>
      </c>
      <c r="W31" s="8">
        <v>989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23066524.440000001</v>
      </c>
      <c r="C32" s="7">
        <v>20878464.16</v>
      </c>
      <c r="D32" s="7">
        <v>360984.8</v>
      </c>
      <c r="E32" s="7">
        <f t="shared" ref="E32" si="390">B32-C32-D32</f>
        <v>1827075.4800000011</v>
      </c>
      <c r="F32" s="7">
        <f t="shared" si="361"/>
        <v>73083.02</v>
      </c>
      <c r="G32" s="7">
        <f t="shared" ref="G32" si="391">ROUND(E32*0,2)</f>
        <v>0</v>
      </c>
      <c r="H32" s="7">
        <f t="shared" ref="H32" si="392">E32-F32-G32</f>
        <v>1753992.4600000011</v>
      </c>
      <c r="I32" s="7">
        <f t="shared" ref="I32" si="393">ROUND(H32*0,2)</f>
        <v>0</v>
      </c>
      <c r="J32" s="7">
        <f t="shared" ref="J32" si="394">ROUND((I32*0.58)+((I32*0.42)*0.1),2)</f>
        <v>0</v>
      </c>
      <c r="K32" s="7">
        <f t="shared" ref="K32" si="395">ROUND((I32*0.42)*0.9,2)</f>
        <v>0</v>
      </c>
      <c r="L32" s="18">
        <f t="shared" ref="L32" si="396">IF(J32+K32=I32,H32-I32,"ERROR")</f>
        <v>1753992.4600000011</v>
      </c>
      <c r="M32" s="7">
        <f t="shared" ref="M32" si="397">ROUND(L32*0.465,2)</f>
        <v>815606.49</v>
      </c>
      <c r="N32" s="7">
        <f>ROUND(L32*0.3,2)+0.02</f>
        <v>526197.76000000001</v>
      </c>
      <c r="O32" s="7">
        <f t="shared" ref="O32" si="398">ROUND(L32*0.1285,2)</f>
        <v>225388.03</v>
      </c>
      <c r="P32" s="7">
        <f t="shared" ref="P32" si="399">ROUND((L32*0.07)*0.9,2)</f>
        <v>110501.52</v>
      </c>
      <c r="Q32" s="7">
        <f t="shared" ref="Q32" si="400">ROUND(L32*0.01,2)</f>
        <v>17539.919999999998</v>
      </c>
      <c r="R32" s="7">
        <f t="shared" ref="R32" si="401">ROUND((L32*0.0075)*0.9,2)</f>
        <v>11839.45</v>
      </c>
      <c r="S32" s="7">
        <f t="shared" ref="S32" si="402">ROUND((L32*0.0075)*0.9,2)</f>
        <v>11839.45</v>
      </c>
      <c r="T32" s="7">
        <f t="shared" ref="T32:T37" si="403">ROUND(L32*0.01,2)</f>
        <v>17539.919999999998</v>
      </c>
      <c r="U32" s="7">
        <f t="shared" ref="U32:U37" si="404">ROUND(L32*0.01,2)</f>
        <v>17539.919999999998</v>
      </c>
      <c r="V32" s="16">
        <f t="shared" ref="V32" si="405">E32/W32</f>
        <v>1843.6684964682152</v>
      </c>
      <c r="W32" s="8">
        <v>991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14196713.300000001</v>
      </c>
      <c r="C33" s="7">
        <v>12786635.029999999</v>
      </c>
      <c r="D33" s="7">
        <v>280637.5</v>
      </c>
      <c r="E33" s="7">
        <f t="shared" ref="E33" si="406">B33-C33-D33</f>
        <v>1129440.7700000014</v>
      </c>
      <c r="F33" s="7">
        <f t="shared" si="361"/>
        <v>45177.63</v>
      </c>
      <c r="G33" s="7">
        <f t="shared" ref="G33" si="407">ROUND(E33*0,2)</f>
        <v>0</v>
      </c>
      <c r="H33" s="7">
        <f t="shared" ref="H33" si="408">E33-F33-G33</f>
        <v>1084263.1400000015</v>
      </c>
      <c r="I33" s="7">
        <f t="shared" ref="I33" si="409">ROUND(H33*0,2)</f>
        <v>0</v>
      </c>
      <c r="J33" s="7">
        <f t="shared" ref="J33" si="410">ROUND((I33*0.58)+((I33*0.42)*0.1),2)</f>
        <v>0</v>
      </c>
      <c r="K33" s="7">
        <f t="shared" ref="K33" si="411">ROUND((I33*0.42)*0.9,2)</f>
        <v>0</v>
      </c>
      <c r="L33" s="18">
        <f t="shared" ref="L33" si="412">IF(J33+K33=I33,H33-I33,"ERROR")</f>
        <v>1084263.1400000015</v>
      </c>
      <c r="M33" s="7">
        <f t="shared" ref="M33" si="413">ROUND(L33*0.465,2)</f>
        <v>504182.36</v>
      </c>
      <c r="N33" s="7">
        <f>ROUND(L33*0.3,2)</f>
        <v>325278.94</v>
      </c>
      <c r="O33" s="7">
        <f t="shared" ref="O33" si="414">ROUND(L33*0.1285,2)</f>
        <v>139327.81</v>
      </c>
      <c r="P33" s="7">
        <f t="shared" ref="P33" si="415">ROUND((L33*0.07)*0.9,2)</f>
        <v>68308.58</v>
      </c>
      <c r="Q33" s="7">
        <f t="shared" ref="Q33" si="416">ROUND(L33*0.01,2)</f>
        <v>10842.63</v>
      </c>
      <c r="R33" s="7">
        <f t="shared" ref="R33" si="417">ROUND((L33*0.0075)*0.9,2)</f>
        <v>7318.78</v>
      </c>
      <c r="S33" s="7">
        <f t="shared" ref="S33" si="418">ROUND((L33*0.0075)*0.9,2)</f>
        <v>7318.78</v>
      </c>
      <c r="T33" s="7">
        <f t="shared" si="403"/>
        <v>10842.63</v>
      </c>
      <c r="U33" s="7">
        <f t="shared" si="404"/>
        <v>10842.63</v>
      </c>
      <c r="V33" s="16">
        <f t="shared" ref="V33" si="419">E33/W33</f>
        <v>1196.4414936440694</v>
      </c>
      <c r="W33" s="8">
        <v>944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15871164.93</v>
      </c>
      <c r="C34" s="7">
        <v>14136084.810000001</v>
      </c>
      <c r="D34" s="7">
        <v>290010.23999999999</v>
      </c>
      <c r="E34" s="7">
        <f t="shared" ref="E34" si="420">B34-C34-D34</f>
        <v>1445069.8799999992</v>
      </c>
      <c r="F34" s="7">
        <f t="shared" si="361"/>
        <v>57802.8</v>
      </c>
      <c r="G34" s="7">
        <f t="shared" ref="G34" si="421">ROUND(E34*0,2)</f>
        <v>0</v>
      </c>
      <c r="H34" s="7">
        <f t="shared" ref="H34" si="422">E34-F34-G34</f>
        <v>1387267.0799999991</v>
      </c>
      <c r="I34" s="7">
        <f t="shared" ref="I34" si="423">ROUND(H34*0,2)</f>
        <v>0</v>
      </c>
      <c r="J34" s="7">
        <f t="shared" ref="J34" si="424">ROUND((I34*0.58)+((I34*0.42)*0.1),2)</f>
        <v>0</v>
      </c>
      <c r="K34" s="7">
        <f t="shared" ref="K34" si="425">ROUND((I34*0.42)*0.9,2)</f>
        <v>0</v>
      </c>
      <c r="L34" s="18">
        <f t="shared" ref="L34" si="426">IF(J34+K34=I34,H34-I34,"ERROR")</f>
        <v>1387267.0799999991</v>
      </c>
      <c r="M34" s="7">
        <f t="shared" ref="M34" si="427">ROUND(L34*0.465,2)</f>
        <v>645079.18999999994</v>
      </c>
      <c r="N34" s="7">
        <f>ROUND(L34*0.3,2)+0.01</f>
        <v>416180.13</v>
      </c>
      <c r="O34" s="7">
        <f t="shared" ref="O34" si="428">ROUND(L34*0.1285,2)</f>
        <v>178263.82</v>
      </c>
      <c r="P34" s="7">
        <f t="shared" ref="P34" si="429">ROUND((L34*0.07)*0.9,2)</f>
        <v>87397.83</v>
      </c>
      <c r="Q34" s="7">
        <f t="shared" ref="Q34" si="430">ROUND(L34*0.01,2)</f>
        <v>13872.67</v>
      </c>
      <c r="R34" s="7">
        <f t="shared" ref="R34" si="431">ROUND((L34*0.0075)*0.9,2)</f>
        <v>9364.0499999999993</v>
      </c>
      <c r="S34" s="7">
        <f t="shared" ref="S34" si="432">ROUND((L34*0.0075)*0.9,2)</f>
        <v>9364.0499999999993</v>
      </c>
      <c r="T34" s="7">
        <f t="shared" si="403"/>
        <v>13872.67</v>
      </c>
      <c r="U34" s="7">
        <f t="shared" si="404"/>
        <v>13872.67</v>
      </c>
      <c r="V34" s="16">
        <f t="shared" ref="V34" si="433">E34/W34</f>
        <v>1488.228506694129</v>
      </c>
      <c r="W34" s="8">
        <v>971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17451228.5</v>
      </c>
      <c r="C35" s="7">
        <v>15731526.189999999</v>
      </c>
      <c r="D35" s="7">
        <v>308433.42000000004</v>
      </c>
      <c r="E35" s="7">
        <f t="shared" ref="E35" si="434">B35-C35-D35</f>
        <v>1411268.8900000006</v>
      </c>
      <c r="F35" s="7">
        <f t="shared" si="361"/>
        <v>56450.76</v>
      </c>
      <c r="G35" s="7">
        <f t="shared" ref="G35" si="435">ROUND(E35*0,2)</f>
        <v>0</v>
      </c>
      <c r="H35" s="7">
        <f t="shared" ref="H35" si="436">E35-F35-G35</f>
        <v>1354818.1300000006</v>
      </c>
      <c r="I35" s="7">
        <f t="shared" ref="I35" si="437">ROUND(H35*0,2)</f>
        <v>0</v>
      </c>
      <c r="J35" s="7">
        <f t="shared" ref="J35" si="438">ROUND((I35*0.58)+((I35*0.42)*0.1),2)</f>
        <v>0</v>
      </c>
      <c r="K35" s="7">
        <f t="shared" ref="K35" si="439">ROUND((I35*0.42)*0.9,2)</f>
        <v>0</v>
      </c>
      <c r="L35" s="18">
        <f t="shared" ref="L35" si="440">IF(J35+K35=I35,H35-I35,"ERROR")</f>
        <v>1354818.1300000006</v>
      </c>
      <c r="M35" s="7">
        <f t="shared" ref="M35" si="441">ROUND(L35*0.465,2)</f>
        <v>629990.43000000005</v>
      </c>
      <c r="N35" s="7">
        <f>ROUND(L35*0.3,2)+0.01</f>
        <v>406445.45</v>
      </c>
      <c r="O35" s="7">
        <f t="shared" ref="O35" si="442">ROUND(L35*0.1285,2)</f>
        <v>174094.13</v>
      </c>
      <c r="P35" s="7">
        <f t="shared" ref="P35" si="443">ROUND((L35*0.07)*0.9,2)</f>
        <v>85353.54</v>
      </c>
      <c r="Q35" s="7">
        <f t="shared" ref="Q35" si="444">ROUND(L35*0.01,2)</f>
        <v>13548.18</v>
      </c>
      <c r="R35" s="7">
        <f t="shared" ref="R35" si="445">ROUND((L35*0.0075)*0.9,2)</f>
        <v>9145.02</v>
      </c>
      <c r="S35" s="7">
        <f t="shared" ref="S35" si="446">ROUND((L35*0.0075)*0.9,2)</f>
        <v>9145.02</v>
      </c>
      <c r="T35" s="7">
        <f t="shared" si="403"/>
        <v>13548.18</v>
      </c>
      <c r="U35" s="7">
        <f t="shared" si="404"/>
        <v>13548.18</v>
      </c>
      <c r="V35" s="16">
        <f t="shared" ref="V35" si="447">E35/W35</f>
        <v>1453.418012358394</v>
      </c>
      <c r="W35" s="8">
        <v>971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19218277.829999998</v>
      </c>
      <c r="C36" s="7">
        <v>17255825.770000003</v>
      </c>
      <c r="D36" s="7">
        <v>330333.92000000004</v>
      </c>
      <c r="E36" s="7">
        <f t="shared" ref="E36" si="448">B36-C36-D36</f>
        <v>1632118.139999995</v>
      </c>
      <c r="F36" s="7">
        <f>ROUND(E36*0.04,2)-0.01</f>
        <v>65284.72</v>
      </c>
      <c r="G36" s="7">
        <f t="shared" ref="G36" si="449">ROUND(E36*0,2)</f>
        <v>0</v>
      </c>
      <c r="H36" s="7">
        <f t="shared" ref="H36" si="450">E36-F36-G36</f>
        <v>1566833.419999995</v>
      </c>
      <c r="I36" s="7">
        <f t="shared" ref="I36" si="451">ROUND(H36*0,2)</f>
        <v>0</v>
      </c>
      <c r="J36" s="7">
        <f t="shared" ref="J36" si="452">ROUND((I36*0.58)+((I36*0.42)*0.1),2)</f>
        <v>0</v>
      </c>
      <c r="K36" s="7">
        <f t="shared" ref="K36" si="453">ROUND((I36*0.42)*0.9,2)</f>
        <v>0</v>
      </c>
      <c r="L36" s="18">
        <f t="shared" ref="L36" si="454">IF(J36+K36=I36,H36-I36,"ERROR")</f>
        <v>1566833.419999995</v>
      </c>
      <c r="M36" s="7">
        <f t="shared" ref="M36" si="455">ROUND(L36*0.465,2)</f>
        <v>728577.54</v>
      </c>
      <c r="N36" s="7">
        <f>ROUND(L36*0.3,2)</f>
        <v>470050.03</v>
      </c>
      <c r="O36" s="7">
        <f t="shared" ref="O36" si="456">ROUND(L36*0.1285,2)</f>
        <v>201338.09</v>
      </c>
      <c r="P36" s="7">
        <f t="shared" ref="P36" si="457">ROUND((L36*0.07)*0.9,2)</f>
        <v>98710.51</v>
      </c>
      <c r="Q36" s="7">
        <f t="shared" ref="Q36" si="458">ROUND(L36*0.01,2)</f>
        <v>15668.33</v>
      </c>
      <c r="R36" s="7">
        <f t="shared" ref="R36" si="459">ROUND((L36*0.0075)*0.9,2)</f>
        <v>10576.13</v>
      </c>
      <c r="S36" s="7">
        <f t="shared" ref="S36" si="460">ROUND((L36*0.0075)*0.9,2)</f>
        <v>10576.13</v>
      </c>
      <c r="T36" s="7">
        <f t="shared" si="403"/>
        <v>15668.33</v>
      </c>
      <c r="U36" s="7">
        <f t="shared" si="404"/>
        <v>15668.33</v>
      </c>
      <c r="V36" s="16">
        <f t="shared" ref="V36" si="461">E36/W36</f>
        <v>1687.816070320574</v>
      </c>
      <c r="W36" s="8">
        <v>967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18330514.890000001</v>
      </c>
      <c r="C37" s="7">
        <v>16449885.66</v>
      </c>
      <c r="D37" s="7">
        <v>317687.55</v>
      </c>
      <c r="E37" s="7">
        <f t="shared" ref="E37" si="462">B37-C37-D37</f>
        <v>1562941.6800000004</v>
      </c>
      <c r="F37" s="7">
        <f>ROUND(E37*0.04,2)-0.02</f>
        <v>62517.65</v>
      </c>
      <c r="G37" s="7">
        <f t="shared" ref="G37" si="463">ROUND(E37*0,2)</f>
        <v>0</v>
      </c>
      <c r="H37" s="7">
        <f t="shared" ref="H37" si="464">E37-F37-G37</f>
        <v>1500424.0300000005</v>
      </c>
      <c r="I37" s="7">
        <f t="shared" ref="I37" si="465">ROUND(H37*0,2)</f>
        <v>0</v>
      </c>
      <c r="J37" s="7">
        <f t="shared" ref="J37" si="466">ROUND((I37*0.58)+((I37*0.42)*0.1),2)</f>
        <v>0</v>
      </c>
      <c r="K37" s="7">
        <f t="shared" ref="K37" si="467">ROUND((I37*0.42)*0.9,2)</f>
        <v>0</v>
      </c>
      <c r="L37" s="18">
        <f t="shared" ref="L37" si="468">IF(J37+K37=I37,H37-I37,"ERROR")</f>
        <v>1500424.0300000005</v>
      </c>
      <c r="M37" s="7">
        <f t="shared" ref="M37" si="469">ROUND(L37*0.465,2)</f>
        <v>697697.17</v>
      </c>
      <c r="N37" s="7">
        <f>ROUND(L37*0.3,2)+0.01</f>
        <v>450127.22000000003</v>
      </c>
      <c r="O37" s="7">
        <f t="shared" ref="O37" si="470">ROUND(L37*0.1285,2)</f>
        <v>192804.49</v>
      </c>
      <c r="P37" s="7">
        <f t="shared" ref="P37" si="471">ROUND((L37*0.07)*0.9,2)</f>
        <v>94526.71</v>
      </c>
      <c r="Q37" s="7">
        <f t="shared" ref="Q37" si="472">ROUND(L37*0.01,2)</f>
        <v>15004.24</v>
      </c>
      <c r="R37" s="7">
        <f t="shared" ref="R37" si="473">ROUND((L37*0.0075)*0.9,2)</f>
        <v>10127.86</v>
      </c>
      <c r="S37" s="7">
        <f t="shared" ref="S37" si="474">ROUND((L37*0.0075)*0.9,2)</f>
        <v>10127.86</v>
      </c>
      <c r="T37" s="7">
        <f t="shared" si="403"/>
        <v>15004.24</v>
      </c>
      <c r="U37" s="7">
        <f t="shared" si="404"/>
        <v>15004.24</v>
      </c>
      <c r="V37" s="16">
        <f t="shared" ref="V37" si="475">E37/W37</f>
        <v>1599.7355987717506</v>
      </c>
      <c r="W37" s="8">
        <v>977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18505472.189999998</v>
      </c>
      <c r="C38" s="7">
        <v>16505690.58</v>
      </c>
      <c r="D38" s="7">
        <v>319551.3</v>
      </c>
      <c r="E38" s="7">
        <f t="shared" ref="E38" si="476">B38-C38-D38</f>
        <v>1680230.3099999975</v>
      </c>
      <c r="F38" s="7">
        <f>ROUND(E38*0.04,2)</f>
        <v>67209.210000000006</v>
      </c>
      <c r="G38" s="7">
        <f t="shared" ref="G38" si="477">ROUND(E38*0,2)</f>
        <v>0</v>
      </c>
      <c r="H38" s="7">
        <f t="shared" ref="H38" si="478">E38-F38-G38</f>
        <v>1613021.0999999975</v>
      </c>
      <c r="I38" s="7">
        <f t="shared" ref="I38" si="479">ROUND(H38*0,2)</f>
        <v>0</v>
      </c>
      <c r="J38" s="7">
        <f t="shared" ref="J38" si="480">ROUND((I38*0.58)+((I38*0.42)*0.1),2)</f>
        <v>0</v>
      </c>
      <c r="K38" s="7">
        <f t="shared" ref="K38" si="481">ROUND((I38*0.42)*0.9,2)</f>
        <v>0</v>
      </c>
      <c r="L38" s="18">
        <f t="shared" ref="L38" si="482">IF(J38+K38=I38,H38-I38,"ERROR")</f>
        <v>1613021.0999999975</v>
      </c>
      <c r="M38" s="7">
        <f t="shared" ref="M38" si="483">ROUND(L38*0.465,2)</f>
        <v>750054.81</v>
      </c>
      <c r="N38" s="7">
        <f>ROUND(L38*0.3,2)+0.01</f>
        <v>483906.34</v>
      </c>
      <c r="O38" s="7">
        <f t="shared" ref="O38" si="484">ROUND(L38*0.1285,2)</f>
        <v>207273.21</v>
      </c>
      <c r="P38" s="7">
        <f t="shared" ref="P38" si="485">ROUND((L38*0.07)*0.9,2)</f>
        <v>101620.33</v>
      </c>
      <c r="Q38" s="7">
        <f t="shared" ref="Q38" si="486">ROUND(L38*0.01,2)</f>
        <v>16130.21</v>
      </c>
      <c r="R38" s="7">
        <f t="shared" ref="R38" si="487">ROUND((L38*0.0075)*0.9,2)</f>
        <v>10887.89</v>
      </c>
      <c r="S38" s="7">
        <f t="shared" ref="S38" si="488">ROUND((L38*0.0075)*0.9,2)</f>
        <v>10887.89</v>
      </c>
      <c r="T38" s="7">
        <f t="shared" ref="T38" si="489">ROUND(L38*0.01,2)</f>
        <v>16130.21</v>
      </c>
      <c r="U38" s="7">
        <f t="shared" ref="U38" si="490">ROUND(L38*0.01,2)</f>
        <v>16130.21</v>
      </c>
      <c r="V38" s="16">
        <f t="shared" ref="V38" si="491">E38/W38</f>
        <v>1732.1961958762861</v>
      </c>
      <c r="W38" s="8">
        <v>970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18841792.789999999</v>
      </c>
      <c r="C39" s="7">
        <v>16882647.43</v>
      </c>
      <c r="D39" s="7">
        <v>321710.77</v>
      </c>
      <c r="E39" s="7">
        <f t="shared" ref="E39" si="492">B39-C39-D39</f>
        <v>1637434.5899999994</v>
      </c>
      <c r="F39" s="7">
        <f>ROUND(E39*0.04,2)-0.01</f>
        <v>65497.369999999995</v>
      </c>
      <c r="G39" s="7">
        <f t="shared" ref="G39" si="493">ROUND(E39*0,2)</f>
        <v>0</v>
      </c>
      <c r="H39" s="7">
        <f t="shared" ref="H39" si="494">E39-F39-G39</f>
        <v>1571937.2199999993</v>
      </c>
      <c r="I39" s="7">
        <f t="shared" ref="I39" si="495">ROUND(H39*0,2)</f>
        <v>0</v>
      </c>
      <c r="J39" s="7">
        <f t="shared" ref="J39" si="496">ROUND((I39*0.58)+((I39*0.42)*0.1),2)</f>
        <v>0</v>
      </c>
      <c r="K39" s="7">
        <f t="shared" ref="K39" si="497">ROUND((I39*0.42)*0.9,2)</f>
        <v>0</v>
      </c>
      <c r="L39" s="18">
        <f t="shared" ref="L39" si="498">IF(J39+K39=I39,H39-I39,"ERROR")</f>
        <v>1571937.2199999993</v>
      </c>
      <c r="M39" s="7">
        <f t="shared" ref="M39" si="499">ROUND(L39*0.465,2)</f>
        <v>730950.81</v>
      </c>
      <c r="N39" s="7">
        <f>ROUND(L39*0.3,2)</f>
        <v>471581.17</v>
      </c>
      <c r="O39" s="7">
        <f t="shared" ref="O39" si="500">ROUND(L39*0.1285,2)</f>
        <v>201993.93</v>
      </c>
      <c r="P39" s="7">
        <f t="shared" ref="P39" si="501">ROUND((L39*0.07)*0.9,2)</f>
        <v>99032.04</v>
      </c>
      <c r="Q39" s="7">
        <f t="shared" ref="Q39" si="502">ROUND(L39*0.01,2)</f>
        <v>15719.37</v>
      </c>
      <c r="R39" s="7">
        <f t="shared" ref="R39" si="503">ROUND((L39*0.0075)*0.9,2)</f>
        <v>10610.58</v>
      </c>
      <c r="S39" s="7">
        <f t="shared" ref="S39" si="504">ROUND((L39*0.0075)*0.9,2)</f>
        <v>10610.58</v>
      </c>
      <c r="T39" s="7">
        <f t="shared" ref="T39" si="505">ROUND(L39*0.01,2)</f>
        <v>15719.37</v>
      </c>
      <c r="U39" s="7">
        <f t="shared" ref="U39" si="506">ROUND(L39*0.01,2)</f>
        <v>15719.37</v>
      </c>
      <c r="V39" s="16">
        <f t="shared" ref="V39" si="507">E39/W39</f>
        <v>1686.3384037075175</v>
      </c>
      <c r="W39" s="8">
        <v>971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23120709.770000003</v>
      </c>
      <c r="C40" s="7">
        <v>20814949.390000001</v>
      </c>
      <c r="D40" s="7">
        <v>364434.2</v>
      </c>
      <c r="E40" s="7">
        <f t="shared" ref="E40" si="508">B40-C40-D40</f>
        <v>1941326.1800000027</v>
      </c>
      <c r="F40" s="7">
        <f>ROUND(E40*0.04,2)-0.01</f>
        <v>77653.040000000008</v>
      </c>
      <c r="G40" s="7">
        <f t="shared" ref="G40" si="509">ROUND(E40*0,2)</f>
        <v>0</v>
      </c>
      <c r="H40" s="7">
        <f t="shared" ref="H40" si="510">E40-F40-G40</f>
        <v>1863673.1400000027</v>
      </c>
      <c r="I40" s="7">
        <f t="shared" ref="I40" si="511">ROUND(H40*0,2)</f>
        <v>0</v>
      </c>
      <c r="J40" s="7">
        <f t="shared" ref="J40" si="512">ROUND((I40*0.58)+((I40*0.42)*0.1),2)</f>
        <v>0</v>
      </c>
      <c r="K40" s="7">
        <f t="shared" ref="K40" si="513">ROUND((I40*0.42)*0.9,2)</f>
        <v>0</v>
      </c>
      <c r="L40" s="18">
        <f t="shared" ref="L40" si="514">IF(J40+K40=I40,H40-I40,"ERROR")</f>
        <v>1863673.1400000027</v>
      </c>
      <c r="M40" s="7">
        <f t="shared" ref="M40" si="515">ROUND(L40*0.465,2)</f>
        <v>866608.01</v>
      </c>
      <c r="N40" s="7">
        <f>ROUND(L40*0.3,2)+0.01</f>
        <v>559101.94999999995</v>
      </c>
      <c r="O40" s="7">
        <f t="shared" ref="O40" si="516">ROUND(L40*0.1285,2)</f>
        <v>239482</v>
      </c>
      <c r="P40" s="7">
        <f t="shared" ref="P40" si="517">ROUND((L40*0.07)*0.9,2)</f>
        <v>117411.41</v>
      </c>
      <c r="Q40" s="7">
        <f t="shared" ref="Q40" si="518">ROUND(L40*0.01,2)</f>
        <v>18636.73</v>
      </c>
      <c r="R40" s="7">
        <f t="shared" ref="R40" si="519">ROUND((L40*0.0075)*0.9,2)</f>
        <v>12579.79</v>
      </c>
      <c r="S40" s="7">
        <f t="shared" ref="S40" si="520">ROUND((L40*0.0075)*0.9,2)</f>
        <v>12579.79</v>
      </c>
      <c r="T40" s="7">
        <f t="shared" ref="T40" si="521">ROUND(L40*0.01,2)</f>
        <v>18636.73</v>
      </c>
      <c r="U40" s="7">
        <f t="shared" ref="U40" si="522">ROUND(L40*0.01,2)</f>
        <v>18636.73</v>
      </c>
      <c r="V40" s="16">
        <f t="shared" ref="V40" si="523">E40/W40</f>
        <v>1962.9182810920149</v>
      </c>
      <c r="W40" s="8">
        <v>989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20814964.640000001</v>
      </c>
      <c r="C41" s="7">
        <v>18571480.34</v>
      </c>
      <c r="D41" s="7">
        <v>352909.73</v>
      </c>
      <c r="E41" s="7">
        <f t="shared" ref="E41" si="524">B41-C41-D41</f>
        <v>1890574.5700000008</v>
      </c>
      <c r="F41" s="7">
        <f t="shared" ref="F41:F46" si="525">ROUND(E41*0.04,2)</f>
        <v>75622.98</v>
      </c>
      <c r="G41" s="7">
        <f t="shared" ref="G41" si="526">ROUND(E41*0,2)</f>
        <v>0</v>
      </c>
      <c r="H41" s="7">
        <f t="shared" ref="H41" si="527">E41-F41-G41</f>
        <v>1814951.5900000008</v>
      </c>
      <c r="I41" s="7">
        <f t="shared" ref="I41" si="528">ROUND(H41*0,2)</f>
        <v>0</v>
      </c>
      <c r="J41" s="7">
        <f t="shared" ref="J41" si="529">ROUND((I41*0.58)+((I41*0.42)*0.1),2)</f>
        <v>0</v>
      </c>
      <c r="K41" s="7">
        <f t="shared" ref="K41" si="530">ROUND((I41*0.42)*0.9,2)</f>
        <v>0</v>
      </c>
      <c r="L41" s="18">
        <f t="shared" ref="L41" si="531">IF(J41+K41=I41,H41-I41,"ERROR")</f>
        <v>1814951.5900000008</v>
      </c>
      <c r="M41" s="7">
        <f t="shared" ref="M41" si="532">ROUND(L41*0.465,2)</f>
        <v>843952.49</v>
      </c>
      <c r="N41" s="7">
        <f>ROUND(L41*0.3,2)-0.01</f>
        <v>544485.47</v>
      </c>
      <c r="O41" s="7">
        <f t="shared" ref="O41" si="533">ROUND(L41*0.1285,2)</f>
        <v>233221.28</v>
      </c>
      <c r="P41" s="7">
        <f t="shared" ref="P41" si="534">ROUND((L41*0.07)*0.9,2)</f>
        <v>114341.95</v>
      </c>
      <c r="Q41" s="7">
        <f t="shared" ref="Q41" si="535">ROUND(L41*0.01,2)</f>
        <v>18149.52</v>
      </c>
      <c r="R41" s="7">
        <f t="shared" ref="R41" si="536">ROUND((L41*0.0075)*0.9,2)</f>
        <v>12250.92</v>
      </c>
      <c r="S41" s="7">
        <f t="shared" ref="S41" si="537">ROUND((L41*0.0075)*0.9,2)</f>
        <v>12250.92</v>
      </c>
      <c r="T41" s="7">
        <f t="shared" ref="T41" si="538">ROUND(L41*0.01,2)</f>
        <v>18149.52</v>
      </c>
      <c r="U41" s="7">
        <f t="shared" ref="U41" si="539">ROUND(L41*0.01,2)</f>
        <v>18149.52</v>
      </c>
      <c r="V41" s="16">
        <f t="shared" ref="V41" si="540">E41/W41</f>
        <v>2019.8446260683768</v>
      </c>
      <c r="W41" s="8">
        <v>936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19889694.899999999</v>
      </c>
      <c r="C42" s="7">
        <v>17783318.100000001</v>
      </c>
      <c r="D42" s="7">
        <v>329794.31999999995</v>
      </c>
      <c r="E42" s="7">
        <f t="shared" ref="E42" si="541">B42-C42-D42</f>
        <v>1776582.4799999972</v>
      </c>
      <c r="F42" s="7">
        <f t="shared" si="525"/>
        <v>71063.3</v>
      </c>
      <c r="G42" s="7">
        <f t="shared" ref="G42" si="542">ROUND(E42*0,2)</f>
        <v>0</v>
      </c>
      <c r="H42" s="7">
        <f t="shared" ref="H42" si="543">E42-F42-G42</f>
        <v>1705519.1799999971</v>
      </c>
      <c r="I42" s="7">
        <f t="shared" ref="I42" si="544">ROUND(H42*0,2)</f>
        <v>0</v>
      </c>
      <c r="J42" s="7">
        <f t="shared" ref="J42" si="545">ROUND((I42*0.58)+((I42*0.42)*0.1),2)</f>
        <v>0</v>
      </c>
      <c r="K42" s="7">
        <f t="shared" ref="K42" si="546">ROUND((I42*0.42)*0.9,2)</f>
        <v>0</v>
      </c>
      <c r="L42" s="18">
        <f t="shared" ref="L42" si="547">IF(J42+K42=I42,H42-I42,"ERROR")</f>
        <v>1705519.1799999971</v>
      </c>
      <c r="M42" s="7">
        <f t="shared" ref="M42" si="548">ROUND(L42*0.465,2)</f>
        <v>793066.42</v>
      </c>
      <c r="N42" s="7">
        <f>ROUND(L42*0.3,2)+0.02</f>
        <v>511655.77</v>
      </c>
      <c r="O42" s="7">
        <f t="shared" ref="O42" si="549">ROUND(L42*0.1285,2)</f>
        <v>219159.21</v>
      </c>
      <c r="P42" s="7">
        <f t="shared" ref="P42" si="550">ROUND((L42*0.07)*0.9,2)</f>
        <v>107447.71</v>
      </c>
      <c r="Q42" s="7">
        <f t="shared" ref="Q42" si="551">ROUND(L42*0.01,2)</f>
        <v>17055.189999999999</v>
      </c>
      <c r="R42" s="7">
        <f t="shared" ref="R42" si="552">ROUND((L42*0.0075)*0.9,2)</f>
        <v>11512.25</v>
      </c>
      <c r="S42" s="7">
        <f t="shared" ref="S42" si="553">ROUND((L42*0.0075)*0.9,2)</f>
        <v>11512.25</v>
      </c>
      <c r="T42" s="7">
        <f t="shared" ref="T42" si="554">ROUND(L42*0.01,2)</f>
        <v>17055.189999999999</v>
      </c>
      <c r="U42" s="7">
        <f t="shared" ref="U42" si="555">ROUND(L42*0.01,2)</f>
        <v>17055.189999999999</v>
      </c>
      <c r="V42" s="16">
        <f t="shared" ref="V42" si="556">E42/W42</f>
        <v>1879.9814603174573</v>
      </c>
      <c r="W42" s="8">
        <v>945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21586410.550000001</v>
      </c>
      <c r="C43" s="7">
        <v>19390160.149999999</v>
      </c>
      <c r="D43" s="7">
        <v>343094.96</v>
      </c>
      <c r="E43" s="7">
        <f t="shared" ref="E43" si="557">B43-C43-D43</f>
        <v>1853155.4400000023</v>
      </c>
      <c r="F43" s="7">
        <f t="shared" si="525"/>
        <v>74126.22</v>
      </c>
      <c r="G43" s="7">
        <f t="shared" ref="G43" si="558">ROUND(E43*0,2)</f>
        <v>0</v>
      </c>
      <c r="H43" s="7">
        <f t="shared" ref="H43" si="559">E43-F43-G43</f>
        <v>1779029.2200000023</v>
      </c>
      <c r="I43" s="7">
        <f t="shared" ref="I43" si="560">ROUND(H43*0,2)</f>
        <v>0</v>
      </c>
      <c r="J43" s="7">
        <f t="shared" ref="J43" si="561">ROUND((I43*0.58)+((I43*0.42)*0.1),2)</f>
        <v>0</v>
      </c>
      <c r="K43" s="7">
        <f t="shared" ref="K43" si="562">ROUND((I43*0.42)*0.9,2)</f>
        <v>0</v>
      </c>
      <c r="L43" s="18">
        <f t="shared" ref="L43" si="563">IF(J43+K43=I43,H43-I43,"ERROR")</f>
        <v>1779029.2200000023</v>
      </c>
      <c r="M43" s="7">
        <f t="shared" ref="M43" si="564">ROUND(L43*0.465,2)</f>
        <v>827248.59</v>
      </c>
      <c r="N43" s="7">
        <f>ROUND(L43*0.3,2)</f>
        <v>533708.77</v>
      </c>
      <c r="O43" s="7">
        <f t="shared" ref="O43" si="565">ROUND(L43*0.1285,2)</f>
        <v>228605.25</v>
      </c>
      <c r="P43" s="7">
        <f t="shared" ref="P43" si="566">ROUND((L43*0.07)*0.9,2)</f>
        <v>112078.84</v>
      </c>
      <c r="Q43" s="7">
        <f t="shared" ref="Q43" si="567">ROUND(L43*0.01,2)</f>
        <v>17790.29</v>
      </c>
      <c r="R43" s="7">
        <f t="shared" ref="R43" si="568">ROUND((L43*0.0075)*0.9,2)</f>
        <v>12008.45</v>
      </c>
      <c r="S43" s="7">
        <f t="shared" ref="S43" si="569">ROUND((L43*0.0075)*0.9,2)</f>
        <v>12008.45</v>
      </c>
      <c r="T43" s="7">
        <f t="shared" ref="T43" si="570">ROUND(L43*0.01,2)</f>
        <v>17790.29</v>
      </c>
      <c r="U43" s="7">
        <f t="shared" ref="U43" si="571">ROUND(L43*0.01,2)</f>
        <v>17790.29</v>
      </c>
      <c r="V43" s="16">
        <f t="shared" ref="V43" si="572">E43/W43</f>
        <v>1875.663400809719</v>
      </c>
      <c r="W43" s="8">
        <v>988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22132046.77</v>
      </c>
      <c r="C44" s="7">
        <v>19827038.48</v>
      </c>
      <c r="D44" s="7">
        <v>370858.79</v>
      </c>
      <c r="E44" s="7">
        <f t="shared" ref="E44" si="573">B44-C44-D44</f>
        <v>1934149.4999999991</v>
      </c>
      <c r="F44" s="7">
        <f t="shared" si="525"/>
        <v>77365.98</v>
      </c>
      <c r="G44" s="7">
        <f t="shared" ref="G44" si="574">ROUND(E44*0,2)</f>
        <v>0</v>
      </c>
      <c r="H44" s="7">
        <f t="shared" ref="H44" si="575">E44-F44-G44</f>
        <v>1856783.5199999991</v>
      </c>
      <c r="I44" s="7">
        <f t="shared" ref="I44" si="576">ROUND(H44*0,2)</f>
        <v>0</v>
      </c>
      <c r="J44" s="7">
        <f t="shared" ref="J44" si="577">ROUND((I44*0.58)+((I44*0.42)*0.1),2)</f>
        <v>0</v>
      </c>
      <c r="K44" s="7">
        <f t="shared" ref="K44" si="578">ROUND((I44*0.42)*0.9,2)</f>
        <v>0</v>
      </c>
      <c r="L44" s="18">
        <f t="shared" ref="L44" si="579">IF(J44+K44=I44,H44-I44,"ERROR")</f>
        <v>1856783.5199999991</v>
      </c>
      <c r="M44" s="7">
        <f t="shared" ref="M44" si="580">ROUND(L44*0.465,2)</f>
        <v>863404.34</v>
      </c>
      <c r="N44" s="7">
        <f>ROUND(L44*0.3,2)-0.02</f>
        <v>557035.04</v>
      </c>
      <c r="O44" s="7">
        <f t="shared" ref="O44" si="581">ROUND(L44*0.1285,2)</f>
        <v>238596.68</v>
      </c>
      <c r="P44" s="7">
        <f t="shared" ref="P44" si="582">ROUND((L44*0.07)*0.9,2)</f>
        <v>116977.36</v>
      </c>
      <c r="Q44" s="7">
        <f t="shared" ref="Q44" si="583">ROUND(L44*0.01,2)</f>
        <v>18567.84</v>
      </c>
      <c r="R44" s="7">
        <f t="shared" ref="R44" si="584">ROUND((L44*0.0075)*0.9,2)</f>
        <v>12533.29</v>
      </c>
      <c r="S44" s="7">
        <f t="shared" ref="S44" si="585">ROUND((L44*0.0075)*0.9,2)</f>
        <v>12533.29</v>
      </c>
      <c r="T44" s="7">
        <f t="shared" ref="T44" si="586">ROUND(L44*0.01,2)</f>
        <v>18567.84</v>
      </c>
      <c r="U44" s="7">
        <f t="shared" ref="U44" si="587">ROUND(L44*0.01,2)</f>
        <v>18567.84</v>
      </c>
      <c r="V44" s="16">
        <f t="shared" ref="V44" si="588">E44/W44</f>
        <v>2002.2251552795021</v>
      </c>
      <c r="W44" s="8">
        <v>966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20684032.18</v>
      </c>
      <c r="C45" s="7">
        <v>18579392.699999999</v>
      </c>
      <c r="D45" s="7">
        <v>327662.42999999993</v>
      </c>
      <c r="E45" s="7">
        <f t="shared" ref="E45" si="589">B45-C45-D45</f>
        <v>1776977.0500000005</v>
      </c>
      <c r="F45" s="7">
        <f t="shared" si="525"/>
        <v>71079.08</v>
      </c>
      <c r="G45" s="7">
        <f t="shared" ref="G45" si="590">ROUND(E45*0,2)</f>
        <v>0</v>
      </c>
      <c r="H45" s="7">
        <f t="shared" ref="H45" si="591">E45-F45-G45</f>
        <v>1705897.9700000004</v>
      </c>
      <c r="I45" s="7">
        <f t="shared" ref="I45" si="592">ROUND(H45*0,2)</f>
        <v>0</v>
      </c>
      <c r="J45" s="7">
        <f t="shared" ref="J45" si="593">ROUND((I45*0.58)+((I45*0.42)*0.1),2)</f>
        <v>0</v>
      </c>
      <c r="K45" s="7">
        <f t="shared" ref="K45" si="594">ROUND((I45*0.42)*0.9,2)</f>
        <v>0</v>
      </c>
      <c r="L45" s="18">
        <f t="shared" ref="L45" si="595">IF(J45+K45=I45,H45-I45,"ERROR")</f>
        <v>1705897.9700000004</v>
      </c>
      <c r="M45" s="7">
        <f t="shared" ref="M45" si="596">ROUND(L45*0.465,2)</f>
        <v>793242.56</v>
      </c>
      <c r="N45" s="7">
        <f>ROUND(L45*0.3,2)</f>
        <v>511769.39</v>
      </c>
      <c r="O45" s="7">
        <f t="shared" ref="O45" si="597">ROUND(L45*0.1285,2)</f>
        <v>219207.89</v>
      </c>
      <c r="P45" s="7">
        <f t="shared" ref="P45" si="598">ROUND((L45*0.07)*0.9,2)</f>
        <v>107471.57</v>
      </c>
      <c r="Q45" s="7">
        <f t="shared" ref="Q45" si="599">ROUND(L45*0.01,2)</f>
        <v>17058.98</v>
      </c>
      <c r="R45" s="7">
        <f t="shared" ref="R45" si="600">ROUND((L45*0.0075)*0.9,2)</f>
        <v>11514.81</v>
      </c>
      <c r="S45" s="7">
        <f t="shared" ref="S45" si="601">ROUND((L45*0.0075)*0.9,2)</f>
        <v>11514.81</v>
      </c>
      <c r="T45" s="7">
        <f t="shared" ref="T45" si="602">ROUND(L45*0.01,2)</f>
        <v>17058.98</v>
      </c>
      <c r="U45" s="7">
        <f t="shared" ref="U45" si="603">ROUND(L45*0.01,2)</f>
        <v>17058.98</v>
      </c>
      <c r="V45" s="16">
        <f t="shared" ref="V45" si="604">E45/W45</f>
        <v>1804.0376142131986</v>
      </c>
      <c r="W45" s="8">
        <v>985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20161030.630000003</v>
      </c>
      <c r="C46" s="7">
        <v>18027003.699999999</v>
      </c>
      <c r="D46" s="7">
        <v>343040.51</v>
      </c>
      <c r="E46" s="7">
        <f t="shared" ref="E46" si="605">B46-C46-D46</f>
        <v>1790986.4200000034</v>
      </c>
      <c r="F46" s="7">
        <f t="shared" si="525"/>
        <v>71639.460000000006</v>
      </c>
      <c r="G46" s="7">
        <f t="shared" ref="G46" si="606">ROUND(E46*0,2)</f>
        <v>0</v>
      </c>
      <c r="H46" s="7">
        <f t="shared" ref="H46" si="607">E46-F46-G46</f>
        <v>1719346.9600000035</v>
      </c>
      <c r="I46" s="7">
        <f t="shared" ref="I46" si="608">ROUND(H46*0,2)</f>
        <v>0</v>
      </c>
      <c r="J46" s="7">
        <f t="shared" ref="J46" si="609">ROUND((I46*0.58)+((I46*0.42)*0.1),2)</f>
        <v>0</v>
      </c>
      <c r="K46" s="7">
        <f t="shared" ref="K46" si="610">ROUND((I46*0.42)*0.9,2)</f>
        <v>0</v>
      </c>
      <c r="L46" s="18">
        <f t="shared" ref="L46" si="611">IF(J46+K46=I46,H46-I46,"ERROR")</f>
        <v>1719346.9600000035</v>
      </c>
      <c r="M46" s="7">
        <f t="shared" ref="M46" si="612">ROUND(L46*0.465,2)</f>
        <v>799496.34</v>
      </c>
      <c r="N46" s="7">
        <f>ROUND(L46*0.3,2)</f>
        <v>515804.09</v>
      </c>
      <c r="O46" s="7">
        <f t="shared" ref="O46" si="613">ROUND(L46*0.1285,2)</f>
        <v>220936.08</v>
      </c>
      <c r="P46" s="7">
        <f t="shared" ref="P46" si="614">ROUND((L46*0.07)*0.9,2)</f>
        <v>108318.86</v>
      </c>
      <c r="Q46" s="7">
        <f t="shared" ref="Q46" si="615">ROUND(L46*0.01,2)</f>
        <v>17193.47</v>
      </c>
      <c r="R46" s="7">
        <f t="shared" ref="R46" si="616">ROUND((L46*0.0075)*0.9,2)</f>
        <v>11605.59</v>
      </c>
      <c r="S46" s="7">
        <f t="shared" ref="S46" si="617">ROUND((L46*0.0075)*0.9,2)</f>
        <v>11605.59</v>
      </c>
      <c r="T46" s="7">
        <f t="shared" ref="T46" si="618">ROUND(L46*0.01,2)</f>
        <v>17193.47</v>
      </c>
      <c r="U46" s="7">
        <f t="shared" ref="U46" si="619">ROUND(L46*0.01,2)</f>
        <v>17193.47</v>
      </c>
      <c r="V46" s="16">
        <f t="shared" ref="V46" si="620">E46/W46</f>
        <v>1850.1925826446316</v>
      </c>
      <c r="W46" s="8">
        <v>968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19217037.010000002</v>
      </c>
      <c r="C47" s="7">
        <v>17261174.349999998</v>
      </c>
      <c r="D47" s="7">
        <v>318027.51</v>
      </c>
      <c r="E47" s="7">
        <f t="shared" ref="E47" si="621">B47-C47-D47</f>
        <v>1637835.1500000039</v>
      </c>
      <c r="F47" s="7">
        <f t="shared" ref="F47" si="622">ROUND(E47*0.04,2)</f>
        <v>65513.41</v>
      </c>
      <c r="G47" s="7">
        <f t="shared" ref="G47" si="623">ROUND(E47*0,2)</f>
        <v>0</v>
      </c>
      <c r="H47" s="7">
        <f t="shared" ref="H47" si="624">E47-F47-G47</f>
        <v>1572321.7400000039</v>
      </c>
      <c r="I47" s="7">
        <f t="shared" ref="I47" si="625">ROUND(H47*0,2)</f>
        <v>0</v>
      </c>
      <c r="J47" s="7">
        <f t="shared" ref="J47" si="626">ROUND((I47*0.58)+((I47*0.42)*0.1),2)</f>
        <v>0</v>
      </c>
      <c r="K47" s="7">
        <f t="shared" ref="K47" si="627">ROUND((I47*0.42)*0.9,2)</f>
        <v>0</v>
      </c>
      <c r="L47" s="18">
        <f t="shared" ref="L47" si="628">IF(J47+K47=I47,H47-I47,"ERROR")</f>
        <v>1572321.7400000039</v>
      </c>
      <c r="M47" s="7">
        <f t="shared" ref="M47" si="629">ROUND(L47*0.465,2)</f>
        <v>731129.61</v>
      </c>
      <c r="N47" s="7">
        <f>ROUND(L47*0.3,2)</f>
        <v>471696.52</v>
      </c>
      <c r="O47" s="7">
        <f t="shared" ref="O47" si="630">ROUND(L47*0.1285,2)</f>
        <v>202043.34</v>
      </c>
      <c r="P47" s="7">
        <f t="shared" ref="P47" si="631">ROUND((L47*0.07)*0.9,2)</f>
        <v>99056.27</v>
      </c>
      <c r="Q47" s="7">
        <f t="shared" ref="Q47" si="632">ROUND(L47*0.01,2)</f>
        <v>15723.22</v>
      </c>
      <c r="R47" s="7">
        <f t="shared" ref="R47" si="633">ROUND((L47*0.0075)*0.9,2)</f>
        <v>10613.17</v>
      </c>
      <c r="S47" s="7">
        <f t="shared" ref="S47" si="634">ROUND((L47*0.0075)*0.9,2)</f>
        <v>10613.17</v>
      </c>
      <c r="T47" s="7">
        <f t="shared" ref="T47" si="635">ROUND(L47*0.01,2)</f>
        <v>15723.22</v>
      </c>
      <c r="U47" s="7">
        <f t="shared" ref="U47" si="636">ROUND(L47*0.01,2)</f>
        <v>15723.22</v>
      </c>
      <c r="V47" s="16">
        <f t="shared" ref="V47" si="637">E47/W47</f>
        <v>1666.1598677517843</v>
      </c>
      <c r="W47" s="8">
        <v>983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21144823.859999999</v>
      </c>
      <c r="C48" s="7">
        <v>18951855.460000001</v>
      </c>
      <c r="D48" s="7">
        <v>342463.8</v>
      </c>
      <c r="E48" s="7">
        <f t="shared" ref="E48" si="638">B48-C48-D48</f>
        <v>1850504.5999999985</v>
      </c>
      <c r="F48" s="7">
        <f t="shared" ref="F48" si="639">ROUND(E48*0.04,2)</f>
        <v>74020.179999999993</v>
      </c>
      <c r="G48" s="7">
        <f t="shared" ref="G48" si="640">ROUND(E48*0,2)</f>
        <v>0</v>
      </c>
      <c r="H48" s="7">
        <f t="shared" ref="H48" si="641">E48-F48-G48</f>
        <v>1776484.4199999985</v>
      </c>
      <c r="I48" s="7">
        <f t="shared" ref="I48" si="642">ROUND(H48*0,2)</f>
        <v>0</v>
      </c>
      <c r="J48" s="7">
        <f t="shared" ref="J48" si="643">ROUND((I48*0.58)+((I48*0.42)*0.1),2)</f>
        <v>0</v>
      </c>
      <c r="K48" s="7">
        <f t="shared" ref="K48" si="644">ROUND((I48*0.42)*0.9,2)</f>
        <v>0</v>
      </c>
      <c r="L48" s="18">
        <f t="shared" ref="L48" si="645">IF(J48+K48=I48,H48-I48,"ERROR")</f>
        <v>1776484.4199999985</v>
      </c>
      <c r="M48" s="7">
        <f t="shared" ref="M48" si="646">ROUND(L48*0.465,2)</f>
        <v>826065.26</v>
      </c>
      <c r="N48" s="7">
        <f>ROUND(L48*0.3,2)</f>
        <v>532945.32999999996</v>
      </c>
      <c r="O48" s="7">
        <f t="shared" ref="O48" si="647">ROUND(L48*0.1285,2)</f>
        <v>228278.25</v>
      </c>
      <c r="P48" s="7">
        <f t="shared" ref="P48" si="648">ROUND((L48*0.07)*0.9,2)</f>
        <v>111918.52</v>
      </c>
      <c r="Q48" s="7">
        <f t="shared" ref="Q48" si="649">ROUND(L48*0.01,2)</f>
        <v>17764.84</v>
      </c>
      <c r="R48" s="7">
        <f t="shared" ref="R48" si="650">ROUND((L48*0.0075)*0.9,2)</f>
        <v>11991.27</v>
      </c>
      <c r="S48" s="7">
        <f t="shared" ref="S48" si="651">ROUND((L48*0.0075)*0.9,2)</f>
        <v>11991.27</v>
      </c>
      <c r="T48" s="7">
        <f t="shared" ref="T48" si="652">ROUND(L48*0.01,2)</f>
        <v>17764.84</v>
      </c>
      <c r="U48" s="7">
        <f t="shared" ref="U48" si="653">ROUND(L48*0.01,2)</f>
        <v>17764.84</v>
      </c>
      <c r="V48" s="16">
        <f t="shared" ref="V48" si="654">E48/W48</f>
        <v>1876.7795131845826</v>
      </c>
      <c r="W48" s="8">
        <v>986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20123734.27</v>
      </c>
      <c r="C49" s="7">
        <v>18145574.5</v>
      </c>
      <c r="D49" s="7">
        <v>336934.13000000006</v>
      </c>
      <c r="E49" s="7">
        <f t="shared" ref="E49" si="655">B49-C49-D49</f>
        <v>1641225.6399999994</v>
      </c>
      <c r="F49" s="7">
        <f t="shared" ref="F49" si="656">ROUND(E49*0.04,2)</f>
        <v>65649.03</v>
      </c>
      <c r="G49" s="7">
        <f t="shared" ref="G49" si="657">ROUND(E49*0,2)</f>
        <v>0</v>
      </c>
      <c r="H49" s="7">
        <f t="shared" ref="H49" si="658">E49-F49-G49</f>
        <v>1575576.6099999994</v>
      </c>
      <c r="I49" s="7">
        <f t="shared" ref="I49" si="659">ROUND(H49*0,2)</f>
        <v>0</v>
      </c>
      <c r="J49" s="7">
        <f t="shared" ref="J49" si="660">ROUND((I49*0.58)+((I49*0.42)*0.1),2)</f>
        <v>0</v>
      </c>
      <c r="K49" s="7">
        <f t="shared" ref="K49" si="661">ROUND((I49*0.42)*0.9,2)</f>
        <v>0</v>
      </c>
      <c r="L49" s="18">
        <f t="shared" ref="L49" si="662">IF(J49+K49=I49,H49-I49,"ERROR")</f>
        <v>1575576.6099999994</v>
      </c>
      <c r="M49" s="7">
        <f t="shared" ref="M49" si="663">ROUND(L49*0.465,2)</f>
        <v>732643.12</v>
      </c>
      <c r="N49" s="7">
        <f>ROUND(L49*0.3,2)</f>
        <v>472672.98</v>
      </c>
      <c r="O49" s="7">
        <f t="shared" ref="O49" si="664">ROUND(L49*0.1285,2)</f>
        <v>202461.59</v>
      </c>
      <c r="P49" s="7">
        <f t="shared" ref="P49" si="665">ROUND((L49*0.07)*0.9,2)</f>
        <v>99261.33</v>
      </c>
      <c r="Q49" s="7">
        <f t="shared" ref="Q49" si="666">ROUND(L49*0.01,2)</f>
        <v>15755.77</v>
      </c>
      <c r="R49" s="7">
        <f t="shared" ref="R49" si="667">ROUND((L49*0.0075)*0.9,2)</f>
        <v>10635.14</v>
      </c>
      <c r="S49" s="7">
        <f t="shared" ref="S49" si="668">ROUND((L49*0.0075)*0.9,2)</f>
        <v>10635.14</v>
      </c>
      <c r="T49" s="7">
        <f t="shared" ref="T49" si="669">ROUND(L49*0.01,2)</f>
        <v>15755.77</v>
      </c>
      <c r="U49" s="7">
        <f t="shared" ref="U49" si="670">ROUND(L49*0.01,2)</f>
        <v>15755.77</v>
      </c>
      <c r="V49" s="16">
        <f t="shared" ref="V49" si="671">E49/W49</f>
        <v>1673.0128848114164</v>
      </c>
      <c r="W49" s="8">
        <v>981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19092541.75</v>
      </c>
      <c r="C50" s="7">
        <v>17041505.559999999</v>
      </c>
      <c r="D50" s="7">
        <v>325786.61000000004</v>
      </c>
      <c r="E50" s="7">
        <f t="shared" ref="E50" si="672">B50-C50-D50</f>
        <v>1725249.5800000012</v>
      </c>
      <c r="F50" s="7">
        <f t="shared" ref="F50" si="673">ROUND(E50*0.04,2)</f>
        <v>69009.98</v>
      </c>
      <c r="G50" s="7">
        <f t="shared" ref="G50" si="674">ROUND(E50*0,2)</f>
        <v>0</v>
      </c>
      <c r="H50" s="7">
        <f t="shared" ref="H50" si="675">E50-F50-G50</f>
        <v>1656239.6000000013</v>
      </c>
      <c r="I50" s="7">
        <f t="shared" ref="I50" si="676">ROUND(H50*0,2)</f>
        <v>0</v>
      </c>
      <c r="J50" s="7">
        <f t="shared" ref="J50" si="677">ROUND((I50*0.58)+((I50*0.42)*0.1),2)</f>
        <v>0</v>
      </c>
      <c r="K50" s="7">
        <f t="shared" ref="K50" si="678">ROUND((I50*0.42)*0.9,2)</f>
        <v>0</v>
      </c>
      <c r="L50" s="18">
        <f t="shared" ref="L50" si="679">IF(J50+K50=I50,H50-I50,"ERROR")</f>
        <v>1656239.6000000013</v>
      </c>
      <c r="M50" s="7">
        <f t="shared" ref="M50" si="680">ROUND(L50*0.465,2)</f>
        <v>770151.41</v>
      </c>
      <c r="N50" s="7">
        <f>ROUND(L50*0.3,2)-0.01</f>
        <v>496871.87</v>
      </c>
      <c r="O50" s="7">
        <f t="shared" ref="O50" si="681">ROUND(L50*0.1285,2)</f>
        <v>212826.79</v>
      </c>
      <c r="P50" s="7">
        <f t="shared" ref="P50" si="682">ROUND((L50*0.07)*0.9,2)</f>
        <v>104343.09</v>
      </c>
      <c r="Q50" s="7">
        <f t="shared" ref="Q50" si="683">ROUND(L50*0.01,2)</f>
        <v>16562.400000000001</v>
      </c>
      <c r="R50" s="7">
        <f t="shared" ref="R50" si="684">ROUND((L50*0.0075)*0.9,2)</f>
        <v>11179.62</v>
      </c>
      <c r="S50" s="7">
        <f t="shared" ref="S50" si="685">ROUND((L50*0.0075)*0.9,2)</f>
        <v>11179.62</v>
      </c>
      <c r="T50" s="7">
        <f t="shared" ref="T50" si="686">ROUND(L50*0.01,2)</f>
        <v>16562.400000000001</v>
      </c>
      <c r="U50" s="7">
        <f t="shared" ref="U50" si="687">ROUND(L50*0.01,2)</f>
        <v>16562.400000000001</v>
      </c>
      <c r="V50" s="16">
        <f t="shared" ref="V50" si="688">E50/W50</f>
        <v>1767.6737500000013</v>
      </c>
      <c r="W50" s="8">
        <v>976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20862698.620000001</v>
      </c>
      <c r="C51" s="7">
        <v>18770389.829999998</v>
      </c>
      <c r="D51" s="7">
        <v>347383.99</v>
      </c>
      <c r="E51" s="7">
        <f t="shared" ref="E51" si="689">B51-C51-D51</f>
        <v>1744924.8000000028</v>
      </c>
      <c r="F51" s="7">
        <f>ROUND(E51*0.04,2)-0.01</f>
        <v>69796.98000000001</v>
      </c>
      <c r="G51" s="7">
        <f t="shared" ref="G51" si="690">ROUND(E51*0,2)</f>
        <v>0</v>
      </c>
      <c r="H51" s="7">
        <f t="shared" ref="H51" si="691">E51-F51-G51</f>
        <v>1675127.8200000029</v>
      </c>
      <c r="I51" s="7">
        <f t="shared" ref="I51" si="692">ROUND(H51*0,2)</f>
        <v>0</v>
      </c>
      <c r="J51" s="7">
        <f t="shared" ref="J51" si="693">ROUND((I51*0.58)+((I51*0.42)*0.1),2)</f>
        <v>0</v>
      </c>
      <c r="K51" s="7">
        <f t="shared" ref="K51" si="694">ROUND((I51*0.42)*0.9,2)</f>
        <v>0</v>
      </c>
      <c r="L51" s="18">
        <f t="shared" ref="L51" si="695">IF(J51+K51=I51,H51-I51,"ERROR")</f>
        <v>1675127.8200000029</v>
      </c>
      <c r="M51" s="7">
        <f t="shared" ref="M51" si="696">ROUND(L51*0.465,2)</f>
        <v>778934.44</v>
      </c>
      <c r="N51" s="7">
        <f>ROUND(L51*0.3,2)</f>
        <v>502538.35</v>
      </c>
      <c r="O51" s="7">
        <f t="shared" ref="O51" si="697">ROUND(L51*0.1285,2)</f>
        <v>215253.92</v>
      </c>
      <c r="P51" s="7">
        <f t="shared" ref="P51" si="698">ROUND((L51*0.07)*0.9,2)</f>
        <v>105533.05</v>
      </c>
      <c r="Q51" s="7">
        <f t="shared" ref="Q51" si="699">ROUND(L51*0.01,2)</f>
        <v>16751.28</v>
      </c>
      <c r="R51" s="7">
        <f t="shared" ref="R51" si="700">ROUND((L51*0.0075)*0.9,2)</f>
        <v>11307.11</v>
      </c>
      <c r="S51" s="7">
        <f t="shared" ref="S51" si="701">ROUND((L51*0.0075)*0.9,2)</f>
        <v>11307.11</v>
      </c>
      <c r="T51" s="7">
        <f t="shared" ref="T51" si="702">ROUND(L51*0.01,2)</f>
        <v>16751.28</v>
      </c>
      <c r="U51" s="7">
        <f t="shared" ref="U51" si="703">ROUND(L51*0.01,2)</f>
        <v>16751.28</v>
      </c>
      <c r="V51" s="16">
        <f t="shared" ref="V51" si="704">E51/W51</f>
        <v>1787.8327868852489</v>
      </c>
      <c r="W51" s="8">
        <v>976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20591116.57</v>
      </c>
      <c r="C52" s="7">
        <v>18427389.610000003</v>
      </c>
      <c r="D52" s="7">
        <v>365790.73000000004</v>
      </c>
      <c r="E52" s="7">
        <f t="shared" ref="E52" si="705">B52-C52-D52</f>
        <v>1797936.2299999972</v>
      </c>
      <c r="F52" s="7">
        <f>ROUND(E52*0.04,2)-0.01</f>
        <v>71917.440000000002</v>
      </c>
      <c r="G52" s="7">
        <f t="shared" ref="G52" si="706">ROUND(E52*0,2)</f>
        <v>0</v>
      </c>
      <c r="H52" s="7">
        <f t="shared" ref="H52" si="707">E52-F52-G52</f>
        <v>1726018.7899999972</v>
      </c>
      <c r="I52" s="7">
        <f t="shared" ref="I52" si="708">ROUND(H52*0,2)</f>
        <v>0</v>
      </c>
      <c r="J52" s="7">
        <f t="shared" ref="J52" si="709">ROUND((I52*0.58)+((I52*0.42)*0.1),2)</f>
        <v>0</v>
      </c>
      <c r="K52" s="7">
        <f t="shared" ref="K52" si="710">ROUND((I52*0.42)*0.9,2)</f>
        <v>0</v>
      </c>
      <c r="L52" s="18">
        <f t="shared" ref="L52" si="711">IF(J52+K52=I52,H52-I52,"ERROR")</f>
        <v>1726018.7899999972</v>
      </c>
      <c r="M52" s="7">
        <f t="shared" ref="M52" si="712">ROUND(L52*0.465,2)</f>
        <v>802598.74</v>
      </c>
      <c r="N52" s="7">
        <f>ROUND(L52*0.3,2)-0.01</f>
        <v>517805.63</v>
      </c>
      <c r="O52" s="7">
        <f t="shared" ref="O52" si="713">ROUND(L52*0.1285,2)</f>
        <v>221793.41</v>
      </c>
      <c r="P52" s="7">
        <f t="shared" ref="P52" si="714">ROUND((L52*0.07)*0.9,2)</f>
        <v>108739.18</v>
      </c>
      <c r="Q52" s="7">
        <f t="shared" ref="Q52" si="715">ROUND(L52*0.01,2)</f>
        <v>17260.189999999999</v>
      </c>
      <c r="R52" s="7">
        <f t="shared" ref="R52" si="716">ROUND((L52*0.0075)*0.9,2)</f>
        <v>11650.63</v>
      </c>
      <c r="S52" s="7">
        <f t="shared" ref="S52" si="717">ROUND((L52*0.0075)*0.9,2)</f>
        <v>11650.63</v>
      </c>
      <c r="T52" s="7">
        <f t="shared" ref="T52" si="718">ROUND(L52*0.01,2)</f>
        <v>17260.189999999999</v>
      </c>
      <c r="U52" s="7">
        <f t="shared" ref="U52" si="719">ROUND(L52*0.01,2)</f>
        <v>17260.189999999999</v>
      </c>
      <c r="V52" s="16">
        <f t="shared" ref="V52" si="720">E52/W52</f>
        <v>1825.3159695431443</v>
      </c>
      <c r="W52" s="8">
        <v>985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4.25" customHeight="1" x14ac:dyDescent="0.25">
      <c r="B53" s="9"/>
      <c r="V53" s="10"/>
    </row>
    <row r="54" spans="1:96" ht="15" customHeight="1" thickBot="1" x14ac:dyDescent="0.3">
      <c r="B54" s="11">
        <f t="shared" ref="B54:U54" si="721">SUM(B6:B53)</f>
        <v>901605389.89099991</v>
      </c>
      <c r="C54" s="11">
        <f t="shared" si="721"/>
        <v>808566519.58000016</v>
      </c>
      <c r="D54" s="11">
        <f t="shared" si="721"/>
        <v>16386980.360000005</v>
      </c>
      <c r="E54" s="11">
        <f t="shared" si="721"/>
        <v>76651889.950999975</v>
      </c>
      <c r="F54" s="11">
        <f t="shared" si="721"/>
        <v>3066075.59</v>
      </c>
      <c r="G54" s="11">
        <f t="shared" si="721"/>
        <v>0</v>
      </c>
      <c r="H54" s="11">
        <f t="shared" si="721"/>
        <v>73585814.360999957</v>
      </c>
      <c r="I54" s="11">
        <f t="shared" si="721"/>
        <v>0</v>
      </c>
      <c r="J54" s="11">
        <f t="shared" si="721"/>
        <v>0</v>
      </c>
      <c r="K54" s="11">
        <f t="shared" si="721"/>
        <v>0</v>
      </c>
      <c r="L54" s="11">
        <f t="shared" si="721"/>
        <v>73585814.360999957</v>
      </c>
      <c r="M54" s="11">
        <f t="shared" si="721"/>
        <v>34217403.689999998</v>
      </c>
      <c r="N54" s="11">
        <f t="shared" si="721"/>
        <v>22075744.329999998</v>
      </c>
      <c r="O54" s="11">
        <f t="shared" si="721"/>
        <v>9455777.089999998</v>
      </c>
      <c r="P54" s="11">
        <f t="shared" si="721"/>
        <v>4635906.3199999984</v>
      </c>
      <c r="Q54" s="11">
        <f t="shared" si="721"/>
        <v>735858.14999999991</v>
      </c>
      <c r="R54" s="11">
        <f t="shared" si="721"/>
        <v>496704.24000000011</v>
      </c>
      <c r="S54" s="11">
        <f>SUM(S6:S53)</f>
        <v>496704.24000000011</v>
      </c>
      <c r="T54" s="11">
        <f t="shared" si="721"/>
        <v>1120515.0899999999</v>
      </c>
      <c r="U54" s="11">
        <f t="shared" si="721"/>
        <v>351201.21</v>
      </c>
      <c r="V54" s="12">
        <f>AVERAGE(V6:V53)</f>
        <v>1666.487931526987</v>
      </c>
      <c r="W54" s="13">
        <f>AVERAGE(W6:W53)</f>
        <v>978.55319148936167</v>
      </c>
    </row>
    <row r="55" spans="1:96" ht="15" customHeight="1" thickTop="1" x14ac:dyDescent="0.25"/>
    <row r="56" spans="1:96" ht="15" customHeight="1" x14ac:dyDescent="0.25">
      <c r="A56" s="1" t="s">
        <v>34</v>
      </c>
    </row>
    <row r="57" spans="1:96" ht="15" customHeight="1" x14ac:dyDescent="0.25">
      <c r="A57" s="1" t="s">
        <v>4</v>
      </c>
    </row>
    <row r="61" spans="1:96" ht="15" customHeight="1" x14ac:dyDescent="0.25">
      <c r="C61" t="s">
        <v>32</v>
      </c>
    </row>
  </sheetData>
  <mergeCells count="1">
    <mergeCell ref="A4:W4"/>
  </mergeCells>
  <pageMargins left="0.25" right="0.25" top="0.5" bottom="0.25" header="0" footer="0"/>
  <pageSetup paperSize="5" scale="17" orientation="landscape" r:id="rId1"/>
  <headerFooter>
    <oddHeader>&amp;CWHEELING ISLAND CASINO VIDEO LOTTERY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CR57"/>
  <sheetViews>
    <sheetView workbookViewId="0">
      <pane ySplit="3" topLeftCell="A26" activePane="bottomLeft" state="frozen"/>
      <selection pane="bottomLeft" activeCell="A53" sqref="A53"/>
    </sheetView>
  </sheetViews>
  <sheetFormatPr defaultRowHeight="15" customHeight="1" x14ac:dyDescent="0.25"/>
  <cols>
    <col min="1" max="1" width="11.7109375" customWidth="1"/>
    <col min="2" max="2" width="16.42578125" customWidth="1"/>
    <col min="3" max="3" width="16.28515625" customWidth="1"/>
    <col min="4" max="4" width="14.7109375" customWidth="1"/>
    <col min="5" max="5" width="15.5703125" customWidth="1"/>
    <col min="6" max="6" width="14.7109375" customWidth="1"/>
    <col min="7" max="7" width="12.7109375" customWidth="1"/>
    <col min="8" max="8" width="15.42578125" customWidth="1"/>
    <col min="9" max="9" width="12.7109375" hidden="1" customWidth="1"/>
    <col min="10" max="11" width="12.7109375" customWidth="1"/>
    <col min="12" max="12" width="15.140625" customWidth="1"/>
    <col min="13" max="13" width="15.85546875" customWidth="1"/>
    <col min="14" max="14" width="16.85546875" customWidth="1"/>
    <col min="15" max="15" width="15.28515625" customWidth="1"/>
    <col min="16" max="16" width="15.140625" customWidth="1"/>
    <col min="17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24</v>
      </c>
      <c r="U1" s="2" t="s">
        <v>25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626056113.47000015</v>
      </c>
      <c r="C2" s="4">
        <v>566774385.00000012</v>
      </c>
      <c r="D2" s="4">
        <v>7561220.1200000001</v>
      </c>
      <c r="E2" s="4">
        <v>51720508.350000009</v>
      </c>
      <c r="F2" s="4">
        <v>1791316.3000000003</v>
      </c>
      <c r="G2" s="4">
        <v>277503.93</v>
      </c>
      <c r="H2" s="4">
        <v>49651688.120000012</v>
      </c>
      <c r="I2" s="4">
        <v>531558.66</v>
      </c>
      <c r="J2" s="4">
        <v>330629.49000000005</v>
      </c>
      <c r="K2" s="4">
        <v>200929.16999999998</v>
      </c>
      <c r="L2" s="4">
        <v>49120129.460000008</v>
      </c>
      <c r="M2" s="4">
        <v>22625578.960000001</v>
      </c>
      <c r="N2" s="4">
        <v>13300830.600000001</v>
      </c>
      <c r="O2" s="4">
        <v>8115514.96</v>
      </c>
      <c r="P2" s="4">
        <v>2965399.4399999995</v>
      </c>
      <c r="Q2" s="4">
        <v>467281.14000000013</v>
      </c>
      <c r="R2" s="4">
        <v>331560.89999999991</v>
      </c>
      <c r="S2" s="4">
        <v>331560.89999999991</v>
      </c>
      <c r="T2" s="4">
        <v>721392.78999999992</v>
      </c>
      <c r="U2" s="4">
        <v>261009.77000000002</v>
      </c>
      <c r="V2" s="4">
        <v>1504.1259367157938</v>
      </c>
      <c r="W2" s="8">
        <v>637.42592592592598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11635365.010000002</v>
      </c>
      <c r="C6" s="7">
        <v>10503997.35</v>
      </c>
      <c r="D6" s="7">
        <v>137893.03</v>
      </c>
      <c r="E6" s="7">
        <f t="shared" ref="E6" si="0">B6-C6-D6</f>
        <v>993474.63000000198</v>
      </c>
      <c r="F6" s="7">
        <f>ROUND(E6*0.04,2)-0.01</f>
        <v>39738.979999999996</v>
      </c>
      <c r="G6" s="7">
        <f t="shared" ref="G6" si="1">ROUND(E6*0,2)</f>
        <v>0</v>
      </c>
      <c r="H6" s="7">
        <f t="shared" ref="H6" si="2">E6-F6-G6</f>
        <v>953735.650000002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953735.650000002</v>
      </c>
      <c r="M6" s="7">
        <f t="shared" ref="M6" si="7">ROUND(L6*0.465,2)</f>
        <v>443487.08</v>
      </c>
      <c r="N6" s="7">
        <f>ROUND(L6*0.3,2)-0.03</f>
        <v>286120.67</v>
      </c>
      <c r="O6" s="7">
        <f t="shared" ref="O6" si="8">ROUND(L6*0.1285,2)</f>
        <v>122555.03</v>
      </c>
      <c r="P6" s="7">
        <f t="shared" ref="P6" si="9">ROUND((L6*0.07)*0.9,2)</f>
        <v>60085.35</v>
      </c>
      <c r="Q6" s="7">
        <f t="shared" ref="Q6" si="10">ROUND(L6*0.01,2)</f>
        <v>9537.36</v>
      </c>
      <c r="R6" s="7">
        <f t="shared" ref="R6" si="11">ROUND((L6*0.0075)*0.9,2)</f>
        <v>6437.72</v>
      </c>
      <c r="S6" s="7">
        <f t="shared" ref="S6" si="12">ROUND((L6*0.0075)*0.9,2)</f>
        <v>6437.72</v>
      </c>
      <c r="T6" s="7">
        <f>ROUND(L6*0.02,2)+0.01</f>
        <v>19074.719999999998</v>
      </c>
      <c r="U6" s="7">
        <f t="shared" ref="U6" si="13">ROUND(M6*0,2)</f>
        <v>0</v>
      </c>
      <c r="V6" s="16">
        <f t="shared" ref="V6" si="14">E6/W6</f>
        <v>1547.4682710280404</v>
      </c>
      <c r="W6" s="8">
        <v>642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11493378.43</v>
      </c>
      <c r="C7" s="7">
        <v>10510184.17</v>
      </c>
      <c r="D7" s="7">
        <v>137073.95000000001</v>
      </c>
      <c r="E7" s="7">
        <f t="shared" ref="E7" si="15">B7-C7-D7</f>
        <v>846120.30999999982</v>
      </c>
      <c r="F7" s="7">
        <f>ROUND(E7*0.04,2)+0.02</f>
        <v>33844.829999999994</v>
      </c>
      <c r="G7" s="7">
        <f t="shared" ref="G7" si="16">ROUND(E7*0,2)</f>
        <v>0</v>
      </c>
      <c r="H7" s="7">
        <f t="shared" ref="H7" si="17">E7-F7-G7</f>
        <v>812275.47999999986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812275.47999999986</v>
      </c>
      <c r="M7" s="7">
        <f t="shared" ref="M7" si="22">ROUND(L7*0.465,2)</f>
        <v>377708.1</v>
      </c>
      <c r="N7" s="7">
        <f>ROUND(L7*0.3,2)+0.01</f>
        <v>243682.65000000002</v>
      </c>
      <c r="O7" s="7">
        <f t="shared" ref="O7" si="23">ROUND(L7*0.1285,2)</f>
        <v>104377.4</v>
      </c>
      <c r="P7" s="7">
        <f t="shared" ref="P7" si="24">ROUND((L7*0.07)*0.9,2)</f>
        <v>51173.36</v>
      </c>
      <c r="Q7" s="7">
        <f t="shared" ref="Q7" si="25">ROUND(L7*0.01,2)</f>
        <v>8122.75</v>
      </c>
      <c r="R7" s="7">
        <f t="shared" ref="R7" si="26">ROUND((L7*0.0075)*0.9,2)</f>
        <v>5482.86</v>
      </c>
      <c r="S7" s="7">
        <f t="shared" ref="S7" si="27">ROUND((L7*0.0075)*0.9,2)</f>
        <v>5482.86</v>
      </c>
      <c r="T7" s="7">
        <f>ROUND(L7*0.02,2)-0.01</f>
        <v>16245.5</v>
      </c>
      <c r="U7" s="7">
        <f t="shared" ref="U7" si="28">ROUND(M7*0,2)</f>
        <v>0</v>
      </c>
      <c r="V7" s="16">
        <f t="shared" ref="V7" si="29">E7/W7</f>
        <v>1326.2073824451409</v>
      </c>
      <c r="W7" s="8">
        <v>638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13135484.5</v>
      </c>
      <c r="C8" s="7">
        <v>11956658.469999999</v>
      </c>
      <c r="D8" s="7">
        <v>154307.84999999998</v>
      </c>
      <c r="E8" s="7">
        <f t="shared" ref="E8" si="30">B8-C8-D8</f>
        <v>1024518.1800000012</v>
      </c>
      <c r="F8" s="7">
        <f>ROUND(E8*0.04,2)-0.01</f>
        <v>40980.720000000001</v>
      </c>
      <c r="G8" s="7">
        <f t="shared" ref="G8" si="31">ROUND(E8*0,2)</f>
        <v>0</v>
      </c>
      <c r="H8" s="7">
        <f t="shared" ref="H8" si="32">E8-F8-G8</f>
        <v>983537.46000000124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983537.46000000124</v>
      </c>
      <c r="M8" s="7">
        <f t="shared" ref="M8" si="37">ROUND(L8*0.465,2)</f>
        <v>457344.92</v>
      </c>
      <c r="N8" s="7">
        <f>ROUND(L8*0.3,2)+0.01</f>
        <v>295061.25</v>
      </c>
      <c r="O8" s="7">
        <f t="shared" ref="O8" si="38">ROUND(L8*0.1285,2)</f>
        <v>126384.56</v>
      </c>
      <c r="P8" s="7">
        <f t="shared" ref="P8" si="39">ROUND((L8*0.07)*0.9,2)</f>
        <v>61962.86</v>
      </c>
      <c r="Q8" s="7">
        <f t="shared" ref="Q8" si="40">ROUND(L8*0.01,2)</f>
        <v>9835.3700000000008</v>
      </c>
      <c r="R8" s="7">
        <f t="shared" ref="R8" si="41">ROUND((L8*0.0075)*0.9,2)</f>
        <v>6638.88</v>
      </c>
      <c r="S8" s="7">
        <f t="shared" ref="S8" si="42">ROUND((L8*0.0075)*0.9,2)</f>
        <v>6638.88</v>
      </c>
      <c r="T8" s="7">
        <f>ROUND(L8*0.02,2)-0.01</f>
        <v>19670.740000000002</v>
      </c>
      <c r="U8" s="7">
        <f t="shared" ref="U8" si="43">ROUND(M8*0,2)</f>
        <v>0</v>
      </c>
      <c r="V8" s="16">
        <f t="shared" ref="V8" si="44">E8/W8</f>
        <v>1644.4914606741593</v>
      </c>
      <c r="W8" s="8">
        <v>623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11292458.859999999</v>
      </c>
      <c r="C9" s="7">
        <v>10137935.189999999</v>
      </c>
      <c r="D9" s="7">
        <v>135622.97</v>
      </c>
      <c r="E9" s="7">
        <f t="shared" ref="E9" si="45">B9-C9-D9</f>
        <v>1018900.7</v>
      </c>
      <c r="F9" s="7">
        <f>ROUND(E9*0.04,2)</f>
        <v>40756.03</v>
      </c>
      <c r="G9" s="7">
        <f t="shared" ref="G9" si="46">ROUND(E9*0,2)</f>
        <v>0</v>
      </c>
      <c r="H9" s="7">
        <f t="shared" ref="H9" si="47">E9-F9-G9</f>
        <v>978144.66999999993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978144.66999999993</v>
      </c>
      <c r="M9" s="7">
        <f t="shared" ref="M9" si="52">ROUND(L9*0.465,2)</f>
        <v>454837.27</v>
      </c>
      <c r="N9" s="7">
        <f>ROUND(L9*0.3,2)-0.01</f>
        <v>293443.39</v>
      </c>
      <c r="O9" s="7">
        <f t="shared" ref="O9" si="53">ROUND(L9*0.1285,2)</f>
        <v>125691.59</v>
      </c>
      <c r="P9" s="7">
        <f t="shared" ref="P9" si="54">ROUND((L9*0.07)*0.9,2)</f>
        <v>61623.11</v>
      </c>
      <c r="Q9" s="7">
        <f t="shared" ref="Q9" si="55">ROUND(L9*0.01,2)</f>
        <v>9781.4500000000007</v>
      </c>
      <c r="R9" s="7">
        <f t="shared" ref="R9" si="56">ROUND((L9*0.0075)*0.9,2)</f>
        <v>6602.48</v>
      </c>
      <c r="S9" s="7">
        <f t="shared" ref="S9" si="57">ROUND((L9*0.0075)*0.9,2)</f>
        <v>6602.48</v>
      </c>
      <c r="T9" s="7">
        <f>ROUND(L9*0.02,2)+0.01</f>
        <v>19562.899999999998</v>
      </c>
      <c r="U9" s="7">
        <f t="shared" ref="U9" si="58">ROUND(M9*0,2)</f>
        <v>0</v>
      </c>
      <c r="V9" s="16">
        <f t="shared" ref="V9" si="59">E9/W9</f>
        <v>1604.568031496063</v>
      </c>
      <c r="W9" s="8">
        <v>635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12361026.48</v>
      </c>
      <c r="C10" s="7">
        <v>11138870.120000001</v>
      </c>
      <c r="D10" s="7">
        <v>164180</v>
      </c>
      <c r="E10" s="7">
        <f t="shared" ref="E10:E15" si="60">B10-C10-D10</f>
        <v>1057976.3599999994</v>
      </c>
      <c r="F10" s="7">
        <f>ROUND(E10*0.04,2)+0.01</f>
        <v>42319.060000000005</v>
      </c>
      <c r="G10" s="7">
        <f t="shared" ref="G10" si="61">ROUND(E10*0,2)</f>
        <v>0</v>
      </c>
      <c r="H10" s="7">
        <f t="shared" ref="H10" si="62">E10-F10-G10</f>
        <v>1015657.2999999993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1015657.2999999993</v>
      </c>
      <c r="M10" s="7">
        <f t="shared" ref="M10" si="67">ROUND(L10*0.465,2)</f>
        <v>472280.64</v>
      </c>
      <c r="N10" s="7">
        <f>ROUND(L10*0.3,2)+0.01</f>
        <v>304697.2</v>
      </c>
      <c r="O10" s="7">
        <f t="shared" ref="O10" si="68">ROUND(L10*0.1285,2)</f>
        <v>130511.96</v>
      </c>
      <c r="P10" s="7">
        <f t="shared" ref="P10" si="69">ROUND((L10*0.07)*0.9,2)</f>
        <v>63986.41</v>
      </c>
      <c r="Q10" s="7">
        <f t="shared" ref="Q10" si="70">ROUND(L10*0.01,2)</f>
        <v>10156.57</v>
      </c>
      <c r="R10" s="7">
        <f t="shared" ref="R10" si="71">ROUND((L10*0.0075)*0.9,2)</f>
        <v>6855.69</v>
      </c>
      <c r="S10" s="7">
        <f t="shared" ref="S10" si="72">ROUND((L10*0.0075)*0.9,2)</f>
        <v>6855.69</v>
      </c>
      <c r="T10" s="7">
        <f>ROUND(L10*0.02,2)-0.01</f>
        <v>20313.140000000003</v>
      </c>
      <c r="U10" s="7">
        <f t="shared" ref="U10" si="73">ROUND(M10*0,2)</f>
        <v>0</v>
      </c>
      <c r="V10" s="16">
        <f t="shared" ref="V10" si="74">E10/W10</f>
        <v>1660.8734065934057</v>
      </c>
      <c r="W10" s="8">
        <v>637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12728754.399999999</v>
      </c>
      <c r="C11" s="7">
        <v>11525603.290000001</v>
      </c>
      <c r="D11" s="7">
        <v>157823.91999999998</v>
      </c>
      <c r="E11" s="7">
        <f t="shared" si="60"/>
        <v>1045327.1899999976</v>
      </c>
      <c r="F11" s="7">
        <f>ROUND(E11*0.04,2)</f>
        <v>41813.089999999997</v>
      </c>
      <c r="G11" s="7">
        <f t="shared" ref="G11" si="75">ROUND(E11*0,2)</f>
        <v>0</v>
      </c>
      <c r="H11" s="7">
        <f t="shared" ref="H11" si="76">E11-F11-G11</f>
        <v>1003514.0999999976</v>
      </c>
      <c r="I11" s="7">
        <f t="shared" ref="I11" si="77">ROUND(H11*0,2)</f>
        <v>0</v>
      </c>
      <c r="J11" s="7">
        <f t="shared" ref="J11" si="78">ROUND((I11*0.58)+((I11*0.42)*0.1),2)</f>
        <v>0</v>
      </c>
      <c r="K11" s="7">
        <f t="shared" ref="K11" si="79">ROUND((I11*0.42)*0.9,2)</f>
        <v>0</v>
      </c>
      <c r="L11" s="18">
        <f t="shared" ref="L11" si="80">IF(J11+K11=I11,H11-I11,"ERROR")</f>
        <v>1003514.0999999976</v>
      </c>
      <c r="M11" s="7">
        <f t="shared" ref="M11" si="81">ROUND(L11*0.465,2)</f>
        <v>466634.06</v>
      </c>
      <c r="N11" s="7">
        <f>ROUND(L11*0.3,2)</f>
        <v>301054.23</v>
      </c>
      <c r="O11" s="7">
        <f t="shared" ref="O11" si="82">ROUND(L11*0.1285,2)</f>
        <v>128951.56</v>
      </c>
      <c r="P11" s="7">
        <f t="shared" ref="P11" si="83">ROUND((L11*0.07)*0.9,2)</f>
        <v>63221.39</v>
      </c>
      <c r="Q11" s="7">
        <f t="shared" ref="Q11" si="84">ROUND(L11*0.01,2)</f>
        <v>10035.14</v>
      </c>
      <c r="R11" s="7">
        <f t="shared" ref="R11" si="85">ROUND((L11*0.0075)*0.9,2)</f>
        <v>6773.72</v>
      </c>
      <c r="S11" s="7">
        <f t="shared" ref="S11" si="86">ROUND((L11*0.0075)*0.9,2)</f>
        <v>6773.72</v>
      </c>
      <c r="T11" s="7">
        <f>ROUND(L11*0.02,2)</f>
        <v>20070.28</v>
      </c>
      <c r="U11" s="7">
        <f t="shared" ref="U11" si="87">ROUND(M11*0,2)</f>
        <v>0</v>
      </c>
      <c r="V11" s="16">
        <f t="shared" ref="V11" si="88">E11/W11</f>
        <v>1659.2495079365042</v>
      </c>
      <c r="W11" s="8">
        <v>630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12223687.670000002</v>
      </c>
      <c r="C12" s="7">
        <v>11039905.470000001</v>
      </c>
      <c r="D12" s="7">
        <v>162468.34</v>
      </c>
      <c r="E12" s="7">
        <f t="shared" si="60"/>
        <v>1021313.8600000012</v>
      </c>
      <c r="F12" s="7">
        <f>ROUND(E12*0.04,2)+0.01</f>
        <v>40852.560000000005</v>
      </c>
      <c r="G12" s="7">
        <f t="shared" ref="G12" si="89">ROUND(E12*0,2)</f>
        <v>0</v>
      </c>
      <c r="H12" s="7">
        <f t="shared" ref="H12" si="90">E12-F12-G12</f>
        <v>980461.30000000109</v>
      </c>
      <c r="I12" s="7">
        <f t="shared" ref="I12" si="91">ROUND(H12*0,2)</f>
        <v>0</v>
      </c>
      <c r="J12" s="7">
        <f t="shared" ref="J12" si="92">ROUND((I12*0.58)+((I12*0.42)*0.1),2)</f>
        <v>0</v>
      </c>
      <c r="K12" s="7">
        <f t="shared" ref="K12" si="93">ROUND((I12*0.42)*0.9,2)</f>
        <v>0</v>
      </c>
      <c r="L12" s="18">
        <f t="shared" ref="L12" si="94">IF(J12+K12=I12,H12-I12,"ERROR")</f>
        <v>980461.30000000109</v>
      </c>
      <c r="M12" s="7">
        <f t="shared" ref="M12" si="95">ROUND(L12*0.465,2)</f>
        <v>455914.5</v>
      </c>
      <c r="N12" s="7">
        <f>ROUND(L12*0.3,2)+0.02</f>
        <v>294138.41000000003</v>
      </c>
      <c r="O12" s="7">
        <f t="shared" ref="O12" si="96">ROUND(L12*0.1285,2)</f>
        <v>125989.28</v>
      </c>
      <c r="P12" s="7">
        <f t="shared" ref="P12" si="97">ROUND((L12*0.07)*0.9,2)</f>
        <v>61769.06</v>
      </c>
      <c r="Q12" s="7">
        <f t="shared" ref="Q12" si="98">ROUND(L12*0.01,2)</f>
        <v>9804.61</v>
      </c>
      <c r="R12" s="7">
        <f t="shared" ref="R12" si="99">ROUND((L12*0.0075)*0.9,2)</f>
        <v>6618.11</v>
      </c>
      <c r="S12" s="7">
        <f t="shared" ref="S12" si="100">ROUND((L12*0.0075)*0.9,2)</f>
        <v>6618.11</v>
      </c>
      <c r="T12" s="7">
        <f>ROUND(L12*0.02,2)-0.01</f>
        <v>19609.22</v>
      </c>
      <c r="U12" s="7">
        <f t="shared" ref="U12" si="101">ROUND(M12*0,2)</f>
        <v>0</v>
      </c>
      <c r="V12" s="16">
        <f t="shared" ref="V12" si="102">E12/W12</f>
        <v>1655.2898865478139</v>
      </c>
      <c r="W12" s="8">
        <v>617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12061098.609999999</v>
      </c>
      <c r="C13" s="7">
        <v>10894297.84</v>
      </c>
      <c r="D13" s="7">
        <v>158038.01999999999</v>
      </c>
      <c r="E13" s="7">
        <f t="shared" si="60"/>
        <v>1008762.7499999995</v>
      </c>
      <c r="F13" s="7">
        <f>ROUND(E13*0.04,2)-0.01</f>
        <v>40350.5</v>
      </c>
      <c r="G13" s="7">
        <f t="shared" ref="G13" si="103">ROUND(E13*0,2)</f>
        <v>0</v>
      </c>
      <c r="H13" s="7">
        <f t="shared" ref="H13" si="104">E13-F13-G13</f>
        <v>968412.24999999953</v>
      </c>
      <c r="I13" s="7">
        <f t="shared" ref="I13" si="105">ROUND(H13*0,2)</f>
        <v>0</v>
      </c>
      <c r="J13" s="7">
        <f t="shared" ref="J13" si="106">ROUND((I13*0.58)+((I13*0.42)*0.1),2)</f>
        <v>0</v>
      </c>
      <c r="K13" s="7">
        <f t="shared" ref="K13" si="107">ROUND((I13*0.42)*0.9,2)</f>
        <v>0</v>
      </c>
      <c r="L13" s="18">
        <f t="shared" ref="L13" si="108">IF(J13+K13=I13,H13-I13,"ERROR")</f>
        <v>968412.24999999953</v>
      </c>
      <c r="M13" s="7">
        <f t="shared" ref="M13" si="109">ROUND(L13*0.465,2)</f>
        <v>450311.7</v>
      </c>
      <c r="N13" s="7">
        <f>ROUND(L13*0.3,2)+0.01</f>
        <v>290523.69</v>
      </c>
      <c r="O13" s="7">
        <f t="shared" ref="O13" si="110">ROUND(L13*0.1285,2)</f>
        <v>124440.97</v>
      </c>
      <c r="P13" s="7">
        <f t="shared" ref="P13" si="111">ROUND((L13*0.07)*0.9,2)</f>
        <v>61009.97</v>
      </c>
      <c r="Q13" s="7">
        <f t="shared" ref="Q13" si="112">ROUND(L13*0.01,2)</f>
        <v>9684.1200000000008</v>
      </c>
      <c r="R13" s="7">
        <f t="shared" ref="R13" si="113">ROUND((L13*0.0075)*0.9,2)</f>
        <v>6536.78</v>
      </c>
      <c r="S13" s="7">
        <f t="shared" ref="S13" si="114">ROUND((L13*0.0075)*0.9,2)</f>
        <v>6536.78</v>
      </c>
      <c r="T13" s="7">
        <f>ROUND(L13*0.02,2)-0.01</f>
        <v>19368.240000000002</v>
      </c>
      <c r="U13" s="7">
        <f t="shared" ref="U13" si="115">ROUND(M13*0,2)</f>
        <v>0</v>
      </c>
      <c r="V13" s="16">
        <f t="shared" ref="V13" si="116">E13/W13</f>
        <v>1611.4420926517564</v>
      </c>
      <c r="W13" s="8">
        <v>626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12103407.24</v>
      </c>
      <c r="C14" s="7">
        <v>10937964.530000001</v>
      </c>
      <c r="D14" s="7">
        <v>145209.73000000001</v>
      </c>
      <c r="E14" s="7">
        <f t="shared" si="60"/>
        <v>1020232.9799999991</v>
      </c>
      <c r="F14" s="7">
        <f>ROUND(E14*0.04,2)+0.01</f>
        <v>40809.33</v>
      </c>
      <c r="G14" s="7">
        <f t="shared" ref="G14" si="117">ROUND(E14*0,2)</f>
        <v>0</v>
      </c>
      <c r="H14" s="7">
        <f t="shared" ref="H14" si="118">E14-F14-G14</f>
        <v>979423.64999999909</v>
      </c>
      <c r="I14" s="7">
        <f t="shared" ref="I14" si="119">ROUND(H14*0,2)</f>
        <v>0</v>
      </c>
      <c r="J14" s="7">
        <f t="shared" ref="J14" si="120">ROUND((I14*0.58)+((I14*0.42)*0.1),2)</f>
        <v>0</v>
      </c>
      <c r="K14" s="7">
        <f t="shared" ref="K14" si="121">ROUND((I14*0.42)*0.9,2)</f>
        <v>0</v>
      </c>
      <c r="L14" s="18">
        <f t="shared" ref="L14" si="122">IF(J14+K14=I14,H14-I14,"ERROR")</f>
        <v>979423.64999999909</v>
      </c>
      <c r="M14" s="7">
        <f t="shared" ref="M14" si="123">ROUND(L14*0.465,2)</f>
        <v>455432</v>
      </c>
      <c r="N14" s="7">
        <f>ROUND(L14*0.3,2)-0.02</f>
        <v>293827.07999999996</v>
      </c>
      <c r="O14" s="7">
        <f t="shared" ref="O14" si="124">ROUND(L14*0.1285,2)</f>
        <v>125855.94</v>
      </c>
      <c r="P14" s="7">
        <f t="shared" ref="P14" si="125">ROUND((L14*0.07)*0.9,2)</f>
        <v>61703.69</v>
      </c>
      <c r="Q14" s="7">
        <f t="shared" ref="Q14" si="126">ROUND(L14*0.01,2)</f>
        <v>9794.24</v>
      </c>
      <c r="R14" s="7">
        <f t="shared" ref="R14" si="127">ROUND((L14*0.0075)*0.9,2)</f>
        <v>6611.11</v>
      </c>
      <c r="S14" s="7">
        <f t="shared" ref="S14" si="128">ROUND((L14*0.0075)*0.9,2)</f>
        <v>6611.11</v>
      </c>
      <c r="T14" s="7">
        <f>ROUND(L14*0.02,2)+0.01</f>
        <v>19588.48</v>
      </c>
      <c r="U14" s="7">
        <f t="shared" ref="U14" si="129">ROUND(M14*0,2)</f>
        <v>0</v>
      </c>
      <c r="V14" s="16">
        <f t="shared" ref="V14" si="130">E14/W14</f>
        <v>1637.6131300160498</v>
      </c>
      <c r="W14" s="8">
        <v>623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11651414.140000001</v>
      </c>
      <c r="C15" s="7">
        <v>10380247.26</v>
      </c>
      <c r="D15" s="7">
        <v>164387.29999999999</v>
      </c>
      <c r="E15" s="7">
        <f t="shared" si="60"/>
        <v>1106779.5800000008</v>
      </c>
      <c r="F15" s="7">
        <f>ROUND(E15*0.04,2)</f>
        <v>44271.18</v>
      </c>
      <c r="G15" s="7">
        <f t="shared" ref="G15" si="131">ROUND(E15*0,2)</f>
        <v>0</v>
      </c>
      <c r="H15" s="7">
        <f t="shared" ref="H15" si="132">E15-F15-G15</f>
        <v>1062508.4000000008</v>
      </c>
      <c r="I15" s="7">
        <f t="shared" ref="I15" si="133">ROUND(H15*0,2)</f>
        <v>0</v>
      </c>
      <c r="J15" s="7">
        <f t="shared" ref="J15" si="134">ROUND((I15*0.58)+((I15*0.42)*0.1),2)</f>
        <v>0</v>
      </c>
      <c r="K15" s="7">
        <f t="shared" ref="K15" si="135">ROUND((I15*0.42)*0.9,2)</f>
        <v>0</v>
      </c>
      <c r="L15" s="18">
        <f t="shared" ref="L15" si="136">IF(J15+K15=I15,H15-I15,"ERROR")</f>
        <v>1062508.4000000008</v>
      </c>
      <c r="M15" s="7">
        <f t="shared" ref="M15" si="137">ROUND(L15*0.465,2)</f>
        <v>494066.41</v>
      </c>
      <c r="N15" s="7">
        <f>ROUND(L15*0.3,2)+0.01</f>
        <v>318752.53000000003</v>
      </c>
      <c r="O15" s="7">
        <f t="shared" ref="O15" si="138">ROUND(L15*0.1285,2)</f>
        <v>136532.32999999999</v>
      </c>
      <c r="P15" s="7">
        <f t="shared" ref="P15" si="139">ROUND((L15*0.07)*0.9,2)</f>
        <v>66938.03</v>
      </c>
      <c r="Q15" s="7">
        <f t="shared" ref="Q15" si="140">ROUND(L15*0.01,2)</f>
        <v>10625.08</v>
      </c>
      <c r="R15" s="7">
        <f t="shared" ref="R15" si="141">ROUND((L15*0.0075)*0.9,2)</f>
        <v>7171.93</v>
      </c>
      <c r="S15" s="7">
        <f t="shared" ref="S15" si="142">ROUND((L15*0.0075)*0.9,2)</f>
        <v>7171.93</v>
      </c>
      <c r="T15" s="7">
        <f>ROUND(L15*0.02,2)-0.01</f>
        <v>21250.16</v>
      </c>
      <c r="U15" s="7">
        <f t="shared" ref="U15" si="143">ROUND(M15*0,2)</f>
        <v>0</v>
      </c>
      <c r="V15" s="16">
        <f t="shared" ref="V15" si="144">E15/W15</f>
        <v>1762.3878662420395</v>
      </c>
      <c r="W15" s="8">
        <v>628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10854487.68</v>
      </c>
      <c r="C16" s="7">
        <v>9746611.25</v>
      </c>
      <c r="D16" s="7">
        <v>146202.74</v>
      </c>
      <c r="E16" s="7">
        <f t="shared" ref="E16" si="145">B16-C16-D16</f>
        <v>961673.68999999971</v>
      </c>
      <c r="F16" s="7">
        <f>ROUND(E16*0.04,2)</f>
        <v>38466.949999999997</v>
      </c>
      <c r="G16" s="7">
        <f t="shared" ref="G16" si="146">ROUND(E16*0,2)</f>
        <v>0</v>
      </c>
      <c r="H16" s="7">
        <f t="shared" ref="H16" si="147">E16-F16-G16</f>
        <v>923206.73999999976</v>
      </c>
      <c r="I16" s="7">
        <f t="shared" ref="I16" si="148">ROUND(H16*0,2)</f>
        <v>0</v>
      </c>
      <c r="J16" s="7">
        <f t="shared" ref="J16" si="149">ROUND((I16*0.58)+((I16*0.42)*0.1),2)</f>
        <v>0</v>
      </c>
      <c r="K16" s="7">
        <f t="shared" ref="K16" si="150">ROUND((I16*0.42)*0.9,2)</f>
        <v>0</v>
      </c>
      <c r="L16" s="18">
        <f t="shared" ref="L16" si="151">IF(J16+K16=I16,H16-I16,"ERROR")</f>
        <v>923206.73999999976</v>
      </c>
      <c r="M16" s="7">
        <f t="shared" ref="M16" si="152">ROUND(L16*0.465,2)</f>
        <v>429291.13</v>
      </c>
      <c r="N16" s="7">
        <f>ROUND(L16*0.3,2)-0.01</f>
        <v>276962.01</v>
      </c>
      <c r="O16" s="7">
        <f t="shared" ref="O16" si="153">ROUND(L16*0.1285,2)</f>
        <v>118632.07</v>
      </c>
      <c r="P16" s="7">
        <f t="shared" ref="P16" si="154">ROUND((L16*0.07)*0.9,2)</f>
        <v>58162.02</v>
      </c>
      <c r="Q16" s="7">
        <f t="shared" ref="Q16" si="155">ROUND(L16*0.01,2)</f>
        <v>9232.07</v>
      </c>
      <c r="R16" s="7">
        <f t="shared" ref="R16" si="156">ROUND((L16*0.0075)*0.9,2)</f>
        <v>6231.65</v>
      </c>
      <c r="S16" s="7">
        <f t="shared" ref="S16" si="157">ROUND((L16*0.0075)*0.9,2)</f>
        <v>6231.65</v>
      </c>
      <c r="T16" s="7">
        <f>ROUND(L16*0.02,2)+0.01</f>
        <v>18464.14</v>
      </c>
      <c r="U16" s="7">
        <f t="shared" ref="U16" si="158">ROUND(M16*0,2)</f>
        <v>0</v>
      </c>
      <c r="V16" s="16">
        <f t="shared" ref="V16" si="159">E16/W16</f>
        <v>1538.6779039999994</v>
      </c>
      <c r="W16" s="8">
        <v>625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11097962.9</v>
      </c>
      <c r="C17" s="7">
        <v>9967109.370000001</v>
      </c>
      <c r="D17" s="7">
        <v>151311.85</v>
      </c>
      <c r="E17" s="7">
        <f t="shared" ref="E17:E22" si="160">B17-C17-D17</f>
        <v>979541.67999999935</v>
      </c>
      <c r="F17" s="7">
        <f>ROUND(E17*0.04,2)</f>
        <v>39181.67</v>
      </c>
      <c r="G17" s="7">
        <f t="shared" ref="G17" si="161">ROUND(E17*0,2)</f>
        <v>0</v>
      </c>
      <c r="H17" s="7">
        <f t="shared" ref="H17" si="162">E17-F17-G17</f>
        <v>940360.00999999931</v>
      </c>
      <c r="I17" s="7">
        <f t="shared" ref="I17" si="163">ROUND(H17*0,2)</f>
        <v>0</v>
      </c>
      <c r="J17" s="7">
        <f t="shared" ref="J17" si="164">ROUND((I17*0.58)+((I17*0.42)*0.1),2)</f>
        <v>0</v>
      </c>
      <c r="K17" s="7">
        <f t="shared" ref="K17" si="165">ROUND((I17*0.42)*0.9,2)</f>
        <v>0</v>
      </c>
      <c r="L17" s="18">
        <f t="shared" ref="L17" si="166">IF(J17+K17=I17,H17-I17,"ERROR")</f>
        <v>940360.00999999931</v>
      </c>
      <c r="M17" s="7">
        <f t="shared" ref="M17" si="167">ROUND(L17*0.465,2)</f>
        <v>437267.4</v>
      </c>
      <c r="N17" s="7">
        <f>ROUND(L17*0.3,2)+0.01</f>
        <v>282108.01</v>
      </c>
      <c r="O17" s="7">
        <f t="shared" ref="O17" si="168">ROUND(L17*0.1285,2)</f>
        <v>120836.26</v>
      </c>
      <c r="P17" s="7">
        <f t="shared" ref="P17" si="169">ROUND((L17*0.07)*0.9,2)</f>
        <v>59242.68</v>
      </c>
      <c r="Q17" s="7">
        <f t="shared" ref="Q17" si="170">ROUND(L17*0.01,2)</f>
        <v>9403.6</v>
      </c>
      <c r="R17" s="7">
        <f t="shared" ref="R17" si="171">ROUND((L17*0.0075)*0.9,2)</f>
        <v>6347.43</v>
      </c>
      <c r="S17" s="7">
        <f t="shared" ref="S17" si="172">ROUND((L17*0.0075)*0.9,2)</f>
        <v>6347.43</v>
      </c>
      <c r="T17" s="7">
        <f>ROUND(L17*0.02,2)</f>
        <v>18807.2</v>
      </c>
      <c r="U17" s="7">
        <f t="shared" ref="U17" si="173">ROUND(M17*0,2)</f>
        <v>0</v>
      </c>
      <c r="V17" s="16">
        <f t="shared" ref="V17" si="174">E17/W17</f>
        <v>1592.7506991869909</v>
      </c>
      <c r="W17" s="8">
        <v>615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11815466.59</v>
      </c>
      <c r="C18" s="7">
        <v>10621384.91</v>
      </c>
      <c r="D18" s="7">
        <v>155432.06</v>
      </c>
      <c r="E18" s="7">
        <f t="shared" si="160"/>
        <v>1038649.6199999996</v>
      </c>
      <c r="F18" s="7">
        <f>ROUND(E18*0.04,2)+0.01</f>
        <v>41545.990000000005</v>
      </c>
      <c r="G18" s="7">
        <f t="shared" ref="G18" si="175">ROUND(E18*0,2)</f>
        <v>0</v>
      </c>
      <c r="H18" s="7">
        <f t="shared" ref="H18" si="176">E18-F18-G18</f>
        <v>997103.62999999966</v>
      </c>
      <c r="I18" s="7">
        <f t="shared" ref="I18" si="177">ROUND(H18*0,2)</f>
        <v>0</v>
      </c>
      <c r="J18" s="7">
        <f t="shared" ref="J18" si="178">ROUND((I18*0.58)+((I18*0.42)*0.1),2)</f>
        <v>0</v>
      </c>
      <c r="K18" s="7">
        <f t="shared" ref="K18" si="179">ROUND((I18*0.42)*0.9,2)</f>
        <v>0</v>
      </c>
      <c r="L18" s="18">
        <f t="shared" ref="L18" si="180">IF(J18+K18=I18,H18-I18,"ERROR")</f>
        <v>997103.62999999966</v>
      </c>
      <c r="M18" s="7">
        <f t="shared" ref="M18" si="181">ROUND(L18*0.465,2)</f>
        <v>463653.19</v>
      </c>
      <c r="N18" s="7">
        <f>ROUND(L18*0.3,2)-0.02</f>
        <v>299131.07</v>
      </c>
      <c r="O18" s="7">
        <f t="shared" ref="O18" si="182">ROUND(L18*0.1285,2)</f>
        <v>128127.82</v>
      </c>
      <c r="P18" s="7">
        <f t="shared" ref="P18" si="183">ROUND((L18*0.07)*0.9,2)</f>
        <v>62817.53</v>
      </c>
      <c r="Q18" s="7">
        <f t="shared" ref="Q18" si="184">ROUND(L18*0.01,2)</f>
        <v>9971.0400000000009</v>
      </c>
      <c r="R18" s="7">
        <f t="shared" ref="R18" si="185">ROUND((L18*0.0075)*0.9,2)</f>
        <v>6730.45</v>
      </c>
      <c r="S18" s="7">
        <f t="shared" ref="S18" si="186">ROUND((L18*0.0075)*0.9,2)</f>
        <v>6730.45</v>
      </c>
      <c r="T18" s="7">
        <f>ROUND(L18*0.02,2)+0.01</f>
        <v>19942.079999999998</v>
      </c>
      <c r="U18" s="7">
        <f t="shared" ref="U18" si="187">ROUND(M18*0,2)</f>
        <v>0</v>
      </c>
      <c r="V18" s="16">
        <f t="shared" ref="V18" si="188">E18/W18</f>
        <v>1739.7816080402004</v>
      </c>
      <c r="W18" s="8">
        <v>597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11071974.57</v>
      </c>
      <c r="C19" s="7">
        <v>9935669.1799999997</v>
      </c>
      <c r="D19" s="7">
        <v>136872.6</v>
      </c>
      <c r="E19" s="7">
        <f t="shared" si="160"/>
        <v>999432.79000000062</v>
      </c>
      <c r="F19" s="7">
        <f>ROUND(E19*0.04,2)</f>
        <v>39977.31</v>
      </c>
      <c r="G19" s="7">
        <f t="shared" ref="G19" si="189">ROUND(E19*0,2)</f>
        <v>0</v>
      </c>
      <c r="H19" s="7">
        <f t="shared" ref="H19" si="190">E19-F19-G19</f>
        <v>959455.48000000068</v>
      </c>
      <c r="I19" s="7">
        <f t="shared" ref="I19" si="191">ROUND(H19*0,2)</f>
        <v>0</v>
      </c>
      <c r="J19" s="7">
        <f t="shared" ref="J19" si="192">ROUND((I19*0.58)+((I19*0.42)*0.1),2)</f>
        <v>0</v>
      </c>
      <c r="K19" s="7">
        <f t="shared" ref="K19" si="193">ROUND((I19*0.42)*0.9,2)</f>
        <v>0</v>
      </c>
      <c r="L19" s="18">
        <f t="shared" ref="L19" si="194">IF(J19+K19=I19,H19-I19,"ERROR")</f>
        <v>959455.48000000068</v>
      </c>
      <c r="M19" s="7">
        <f t="shared" ref="M19" si="195">ROUND(L19*0.465,2)</f>
        <v>446146.8</v>
      </c>
      <c r="N19" s="7">
        <f>ROUND(L19*0.3,2)+0.02</f>
        <v>287836.66000000003</v>
      </c>
      <c r="O19" s="7">
        <f t="shared" ref="O19" si="196">ROUND(L19*0.1285,2)</f>
        <v>123290.03</v>
      </c>
      <c r="P19" s="7">
        <f t="shared" ref="P19" si="197">ROUND((L19*0.07)*0.9,2)</f>
        <v>60445.7</v>
      </c>
      <c r="Q19" s="7">
        <f t="shared" ref="Q19" si="198">ROUND(L19*0.01,2)</f>
        <v>9594.5499999999993</v>
      </c>
      <c r="R19" s="7">
        <f t="shared" ref="R19" si="199">ROUND((L19*0.0075)*0.9,2)</f>
        <v>6476.32</v>
      </c>
      <c r="S19" s="7">
        <f t="shared" ref="S19" si="200">ROUND((L19*0.0075)*0.9,2)</f>
        <v>6476.32</v>
      </c>
      <c r="T19" s="7">
        <f>ROUND(L19*0.02,2)-0.01</f>
        <v>19189.100000000002</v>
      </c>
      <c r="U19" s="7">
        <f t="shared" ref="U19" si="201">ROUND(M19*0,2)</f>
        <v>0</v>
      </c>
      <c r="V19" s="16">
        <f t="shared" ref="V19" si="202">E19/W19</f>
        <v>1635.7328805237325</v>
      </c>
      <c r="W19" s="8">
        <v>611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11212940.890000001</v>
      </c>
      <c r="C20" s="7">
        <v>10173101.65</v>
      </c>
      <c r="D20" s="7">
        <v>133242.57</v>
      </c>
      <c r="E20" s="7">
        <f t="shared" si="160"/>
        <v>906596.67000000016</v>
      </c>
      <c r="F20" s="7">
        <f>ROUND(E20*0.04,2)</f>
        <v>36263.870000000003</v>
      </c>
      <c r="G20" s="7">
        <f t="shared" ref="G20" si="203">ROUND(E20*0,2)</f>
        <v>0</v>
      </c>
      <c r="H20" s="7">
        <f t="shared" ref="H20" si="204">E20-F20-G20</f>
        <v>870332.80000000016</v>
      </c>
      <c r="I20" s="7">
        <f t="shared" ref="I20" si="205">ROUND(H20*0,2)</f>
        <v>0</v>
      </c>
      <c r="J20" s="7">
        <f t="shared" ref="J20" si="206">ROUND((I20*0.58)+((I20*0.42)*0.1),2)</f>
        <v>0</v>
      </c>
      <c r="K20" s="7">
        <f t="shared" ref="K20" si="207">ROUND((I20*0.42)*0.9,2)</f>
        <v>0</v>
      </c>
      <c r="L20" s="18">
        <f t="shared" ref="L20" si="208">IF(J20+K20=I20,H20-I20,"ERROR")</f>
        <v>870332.80000000016</v>
      </c>
      <c r="M20" s="7">
        <f t="shared" ref="M20" si="209">ROUND(L20*0.465,2)</f>
        <v>404704.75</v>
      </c>
      <c r="N20" s="7">
        <f>ROUND(L20*0.3,2)-0.01</f>
        <v>261099.83</v>
      </c>
      <c r="O20" s="7">
        <f t="shared" ref="O20" si="210">ROUND(L20*0.1285,2)</f>
        <v>111837.75999999999</v>
      </c>
      <c r="P20" s="7">
        <f t="shared" ref="P20" si="211">ROUND((L20*0.07)*0.9,2)</f>
        <v>54830.97</v>
      </c>
      <c r="Q20" s="7">
        <f t="shared" ref="Q20" si="212">ROUND(L20*0.01,2)</f>
        <v>8703.33</v>
      </c>
      <c r="R20" s="7">
        <f t="shared" ref="R20" si="213">ROUND((L20*0.0075)*0.9,2)</f>
        <v>5874.75</v>
      </c>
      <c r="S20" s="7">
        <f t="shared" ref="S20" si="214">ROUND((L20*0.0075)*0.9,2)</f>
        <v>5874.75</v>
      </c>
      <c r="T20" s="7">
        <f>ROUND(L20*0.02,2)</f>
        <v>17406.66</v>
      </c>
      <c r="U20" s="7">
        <f t="shared" ref="U20" si="215">ROUND(M20*0,2)</f>
        <v>0</v>
      </c>
      <c r="V20" s="16">
        <f t="shared" ref="V20" si="216">E20/W20</f>
        <v>1439.0423333333335</v>
      </c>
      <c r="W20" s="8">
        <v>630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12649281.529999999</v>
      </c>
      <c r="C21" s="7">
        <v>11435624.739999998</v>
      </c>
      <c r="D21" s="7">
        <v>136298.34999999998</v>
      </c>
      <c r="E21" s="7">
        <f t="shared" si="160"/>
        <v>1077358.4400000009</v>
      </c>
      <c r="F21" s="7">
        <f>ROUND(E21*0.04,2)+0.01</f>
        <v>43094.35</v>
      </c>
      <c r="G21" s="7">
        <f t="shared" ref="G21" si="217">ROUND(E21*0,2)</f>
        <v>0</v>
      </c>
      <c r="H21" s="7">
        <f t="shared" ref="H21" si="218">E21-F21-G21</f>
        <v>1034264.0900000009</v>
      </c>
      <c r="I21" s="7">
        <f t="shared" ref="I21" si="219">ROUND(H21*0,2)</f>
        <v>0</v>
      </c>
      <c r="J21" s="7">
        <f t="shared" ref="J21" si="220">ROUND((I21*0.58)+((I21*0.42)*0.1),2)</f>
        <v>0</v>
      </c>
      <c r="K21" s="7">
        <f t="shared" ref="K21" si="221">ROUND((I21*0.42)*0.9,2)</f>
        <v>0</v>
      </c>
      <c r="L21" s="18">
        <f t="shared" ref="L21" si="222">IF(J21+K21=I21,H21-I21,"ERROR")</f>
        <v>1034264.0900000009</v>
      </c>
      <c r="M21" s="7">
        <f t="shared" ref="M21" si="223">ROUND(L21*0.465,2)</f>
        <v>480932.8</v>
      </c>
      <c r="N21" s="7">
        <f>ROUND(L21*0.3,2)</f>
        <v>310279.23</v>
      </c>
      <c r="O21" s="7">
        <f t="shared" ref="O21" si="224">ROUND(L21*0.1285,2)</f>
        <v>132902.94</v>
      </c>
      <c r="P21" s="7">
        <f t="shared" ref="P21" si="225">ROUND((L21*0.07)*0.9,2)</f>
        <v>65158.64</v>
      </c>
      <c r="Q21" s="7">
        <f t="shared" ref="Q21" si="226">ROUND(L21*0.01,2)</f>
        <v>10342.64</v>
      </c>
      <c r="R21" s="7">
        <f t="shared" ref="R21" si="227">ROUND((L21*0.0075)*0.9,2)</f>
        <v>6981.28</v>
      </c>
      <c r="S21" s="7">
        <f t="shared" ref="S21" si="228">ROUND((L21*0.0075)*0.9,2)</f>
        <v>6981.28</v>
      </c>
      <c r="T21" s="7">
        <f>ROUND(L21*0.02,2)</f>
        <v>20685.28</v>
      </c>
      <c r="U21" s="7">
        <f t="shared" ref="U21" si="229">ROUND(M21*0,2)</f>
        <v>0</v>
      </c>
      <c r="V21" s="16">
        <f t="shared" ref="V21" si="230">E21/W21</f>
        <v>1667.7375232198156</v>
      </c>
      <c r="W21" s="8">
        <v>646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10682437.049999999</v>
      </c>
      <c r="C22" s="7">
        <v>9685661.5700000003</v>
      </c>
      <c r="D22" s="7">
        <v>122910.02</v>
      </c>
      <c r="E22" s="7">
        <f t="shared" si="160"/>
        <v>873865.45999999857</v>
      </c>
      <c r="F22" s="7">
        <f>ROUND(E22*0.04,2)</f>
        <v>34954.620000000003</v>
      </c>
      <c r="G22" s="7">
        <f t="shared" ref="G22" si="231">ROUND(E22*0,2)</f>
        <v>0</v>
      </c>
      <c r="H22" s="7">
        <f t="shared" ref="H22" si="232">E22-F22-G22</f>
        <v>838910.83999999857</v>
      </c>
      <c r="I22" s="7">
        <f t="shared" ref="I22" si="233">ROUND(H22*0,2)</f>
        <v>0</v>
      </c>
      <c r="J22" s="7">
        <f t="shared" ref="J22" si="234">ROUND((I22*0.58)+((I22*0.42)*0.1),2)</f>
        <v>0</v>
      </c>
      <c r="K22" s="7">
        <f t="shared" ref="K22" si="235">ROUND((I22*0.42)*0.9,2)</f>
        <v>0</v>
      </c>
      <c r="L22" s="18">
        <f t="shared" ref="L22" si="236">IF(J22+K22=I22,H22-I22,"ERROR")</f>
        <v>838910.83999999857</v>
      </c>
      <c r="M22" s="7">
        <f t="shared" ref="M22" si="237">ROUND(L22*0.465,2)</f>
        <v>390093.54</v>
      </c>
      <c r="N22" s="7">
        <f>ROUND(L22*0.3,2)</f>
        <v>251673.25</v>
      </c>
      <c r="O22" s="7">
        <f t="shared" ref="O22" si="238">ROUND(L22*0.1285,2)</f>
        <v>107800.04</v>
      </c>
      <c r="P22" s="7">
        <f t="shared" ref="P22" si="239">ROUND((L22*0.07)*0.9,2)</f>
        <v>52851.38</v>
      </c>
      <c r="Q22" s="7">
        <f t="shared" ref="Q22" si="240">ROUND(L22*0.01,2)</f>
        <v>8389.11</v>
      </c>
      <c r="R22" s="7">
        <f t="shared" ref="R22" si="241">ROUND((L22*0.0075)*0.9,2)</f>
        <v>5662.65</v>
      </c>
      <c r="S22" s="7">
        <f t="shared" ref="S22" si="242">ROUND((L22*0.0075)*0.9,2)</f>
        <v>5662.65</v>
      </c>
      <c r="T22" s="7">
        <f>ROUND(L22*0.02,2)</f>
        <v>16778.22</v>
      </c>
      <c r="U22" s="7">
        <f t="shared" ref="U22" si="243">ROUND(M22*0,2)</f>
        <v>0</v>
      </c>
      <c r="V22" s="16">
        <f t="shared" ref="V22" si="244">E22/W22</f>
        <v>1359.0442612752699</v>
      </c>
      <c r="W22" s="8">
        <v>643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11717001.18</v>
      </c>
      <c r="C23" s="7">
        <v>10578773.59</v>
      </c>
      <c r="D23" s="7">
        <v>135559.21</v>
      </c>
      <c r="E23" s="7">
        <f t="shared" ref="E23" si="245">B23-C23-D23</f>
        <v>1002668.3799999999</v>
      </c>
      <c r="F23" s="7">
        <f>ROUND(E23*0.04,2)-0.01</f>
        <v>40106.729999999996</v>
      </c>
      <c r="G23" s="7">
        <f t="shared" ref="G23" si="246">ROUND(E23*0,2)</f>
        <v>0</v>
      </c>
      <c r="H23" s="7">
        <f t="shared" ref="H23" si="247">E23-F23-G23</f>
        <v>962561.64999999991</v>
      </c>
      <c r="I23" s="7">
        <f t="shared" ref="I23" si="248">ROUND(H23*0,2)</f>
        <v>0</v>
      </c>
      <c r="J23" s="7">
        <f t="shared" ref="J23" si="249">ROUND((I23*0.58)+((I23*0.42)*0.1),2)</f>
        <v>0</v>
      </c>
      <c r="K23" s="7">
        <f t="shared" ref="K23" si="250">ROUND((I23*0.42)*0.9,2)</f>
        <v>0</v>
      </c>
      <c r="L23" s="18">
        <f t="shared" ref="L23" si="251">IF(J23+K23=I23,H23-I23,"ERROR")</f>
        <v>962561.64999999991</v>
      </c>
      <c r="M23" s="7">
        <f t="shared" ref="M23" si="252">ROUND(L23*0.465,2)</f>
        <v>447591.17</v>
      </c>
      <c r="N23" s="7">
        <f>ROUND(L23*0.3,2)-0.01</f>
        <v>288768.49</v>
      </c>
      <c r="O23" s="7">
        <f t="shared" ref="O23" si="253">ROUND(L23*0.1285,2)</f>
        <v>123689.17</v>
      </c>
      <c r="P23" s="7">
        <f t="shared" ref="P23" si="254">ROUND((L23*0.07)*0.9,2)</f>
        <v>60641.38</v>
      </c>
      <c r="Q23" s="7">
        <f t="shared" ref="Q23" si="255">ROUND(L23*0.01,2)</f>
        <v>9625.6200000000008</v>
      </c>
      <c r="R23" s="7">
        <f t="shared" ref="R23" si="256">ROUND((L23*0.0075)*0.9,2)</f>
        <v>6497.29</v>
      </c>
      <c r="S23" s="7">
        <f t="shared" ref="S23" si="257">ROUND((L23*0.0075)*0.9,2)</f>
        <v>6497.29</v>
      </c>
      <c r="T23" s="7">
        <f>ROUND(L23*0.02,2)+0.01</f>
        <v>19251.239999999998</v>
      </c>
      <c r="U23" s="7">
        <f t="shared" ref="U23" si="258">ROUND(M23*0,2)</f>
        <v>0</v>
      </c>
      <c r="V23" s="16">
        <f t="shared" ref="V23" si="259">E23/W23</f>
        <v>1461.6157142857141</v>
      </c>
      <c r="W23" s="8">
        <v>686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11275325.799999999</v>
      </c>
      <c r="C24" s="7">
        <v>10206333.15</v>
      </c>
      <c r="D24" s="7">
        <v>131420.25999999998</v>
      </c>
      <c r="E24" s="7">
        <f t="shared" ref="E24" si="260">B24-C24-D24</f>
        <v>937572.3899999985</v>
      </c>
      <c r="F24" s="7">
        <f>ROUND(E24*0.04,2)</f>
        <v>37502.9</v>
      </c>
      <c r="G24" s="7">
        <f t="shared" ref="G24" si="261">ROUND(E24*0,2)</f>
        <v>0</v>
      </c>
      <c r="H24" s="7">
        <f t="shared" ref="H24" si="262">E24-F24-G24</f>
        <v>900069.48999999848</v>
      </c>
      <c r="I24" s="7">
        <f t="shared" ref="I24" si="263">ROUND(H24*0,2)</f>
        <v>0</v>
      </c>
      <c r="J24" s="7">
        <f t="shared" ref="J24" si="264">ROUND((I24*0.58)+((I24*0.42)*0.1),2)</f>
        <v>0</v>
      </c>
      <c r="K24" s="7">
        <f t="shared" ref="K24" si="265">ROUND((I24*0.42)*0.9,2)</f>
        <v>0</v>
      </c>
      <c r="L24" s="18">
        <f t="shared" ref="L24" si="266">IF(J24+K24=I24,H24-I24,"ERROR")</f>
        <v>900069.48999999848</v>
      </c>
      <c r="M24" s="7">
        <f t="shared" ref="M24" si="267">ROUND(L24*0.465,2)</f>
        <v>418532.31</v>
      </c>
      <c r="N24" s="7">
        <f>ROUND(L24*0.3,2)+0.01</f>
        <v>270020.86</v>
      </c>
      <c r="O24" s="7">
        <f t="shared" ref="O24" si="268">ROUND(L24*0.1285,2)</f>
        <v>115658.93</v>
      </c>
      <c r="P24" s="7">
        <f t="shared" ref="P24" si="269">ROUND((L24*0.07)*0.9,2)</f>
        <v>56704.38</v>
      </c>
      <c r="Q24" s="7">
        <f t="shared" ref="Q24" si="270">ROUND(L24*0.01,2)</f>
        <v>9000.69</v>
      </c>
      <c r="R24" s="7">
        <f t="shared" ref="R24" si="271">ROUND((L24*0.0075)*0.9,2)</f>
        <v>6075.47</v>
      </c>
      <c r="S24" s="7">
        <f t="shared" ref="S24" si="272">ROUND((L24*0.0075)*0.9,2)</f>
        <v>6075.47</v>
      </c>
      <c r="T24" s="7">
        <f>ROUND(L24*0.02,2)-0.01</f>
        <v>18001.38</v>
      </c>
      <c r="U24" s="7">
        <f t="shared" ref="U24" si="273">ROUND(M24*0,2)</f>
        <v>0</v>
      </c>
      <c r="V24" s="16">
        <f t="shared" ref="V24" si="274">E24/W24</f>
        <v>1444.6415870570086</v>
      </c>
      <c r="W24" s="8">
        <v>649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11317273.09</v>
      </c>
      <c r="C25" s="7">
        <v>10279330.189999999</v>
      </c>
      <c r="D25" s="7">
        <v>129389.09999999999</v>
      </c>
      <c r="E25" s="7">
        <f t="shared" ref="E25" si="275">B25-C25-D25</f>
        <v>908553.8000000004</v>
      </c>
      <c r="F25" s="7">
        <f>ROUND(E25*0.04,2)</f>
        <v>36342.15</v>
      </c>
      <c r="G25" s="7">
        <f t="shared" ref="G25" si="276">ROUND(E25*0,2)</f>
        <v>0</v>
      </c>
      <c r="H25" s="7">
        <f t="shared" ref="H25" si="277">E25-F25-G25</f>
        <v>872211.65000000037</v>
      </c>
      <c r="I25" s="7">
        <f t="shared" ref="I25" si="278">ROUND(H25*0,2)</f>
        <v>0</v>
      </c>
      <c r="J25" s="7">
        <f t="shared" ref="J25" si="279">ROUND((I25*0.58)+((I25*0.42)*0.1),2)</f>
        <v>0</v>
      </c>
      <c r="K25" s="7">
        <f t="shared" ref="K25" si="280">ROUND((I25*0.42)*0.9,2)</f>
        <v>0</v>
      </c>
      <c r="L25" s="18">
        <f t="shared" ref="L25" si="281">IF(J25+K25=I25,H25-I25,"ERROR")</f>
        <v>872211.65000000037</v>
      </c>
      <c r="M25" s="7">
        <f t="shared" ref="M25" si="282">ROUND(L25*0.465,2)</f>
        <v>405578.42</v>
      </c>
      <c r="N25" s="7">
        <f>ROUND(L25*0.3,2)-0.02</f>
        <v>261663.48</v>
      </c>
      <c r="O25" s="7">
        <f t="shared" ref="O25" si="283">ROUND(L25*0.1285,2)</f>
        <v>112079.2</v>
      </c>
      <c r="P25" s="7">
        <f t="shared" ref="P25" si="284">ROUND((L25*0.07)*0.9,2)</f>
        <v>54949.33</v>
      </c>
      <c r="Q25" s="7">
        <f t="shared" ref="Q25" si="285">ROUND(L25*0.01,2)</f>
        <v>8722.1200000000008</v>
      </c>
      <c r="R25" s="7">
        <f t="shared" ref="R25" si="286">ROUND((L25*0.0075)*0.9,2)</f>
        <v>5887.43</v>
      </c>
      <c r="S25" s="7">
        <f t="shared" ref="S25" si="287">ROUND((L25*0.0075)*0.9,2)</f>
        <v>5887.43</v>
      </c>
      <c r="T25" s="7">
        <f>ROUND(L25*0.02,2)+0.01</f>
        <v>17444.239999999998</v>
      </c>
      <c r="U25" s="7">
        <f t="shared" ref="U25" si="288">ROUND(M25*0,2)</f>
        <v>0</v>
      </c>
      <c r="V25" s="16">
        <f t="shared" ref="V25" si="289">E25/W25</f>
        <v>1417.4006240249616</v>
      </c>
      <c r="W25" s="8">
        <v>641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9593496.5899999999</v>
      </c>
      <c r="C26" s="7">
        <v>8673972.129999999</v>
      </c>
      <c r="D26" s="7">
        <v>114092.25999999998</v>
      </c>
      <c r="E26" s="7">
        <f t="shared" ref="E26" si="290">B26-C26-D26</f>
        <v>805432.20000000088</v>
      </c>
      <c r="F26" s="7">
        <f>ROUND(E26*0.04,2)</f>
        <v>32217.29</v>
      </c>
      <c r="G26" s="7">
        <f t="shared" ref="G26" si="291">ROUND(E26*0,2)</f>
        <v>0</v>
      </c>
      <c r="H26" s="7">
        <f t="shared" ref="H26" si="292">E26-F26-G26</f>
        <v>773214.91000000085</v>
      </c>
      <c r="I26" s="7">
        <f t="shared" ref="I26" si="293">ROUND(H26*0,2)</f>
        <v>0</v>
      </c>
      <c r="J26" s="7">
        <f t="shared" ref="J26" si="294">ROUND((I26*0.58)+((I26*0.42)*0.1),2)</f>
        <v>0</v>
      </c>
      <c r="K26" s="7">
        <f t="shared" ref="K26" si="295">ROUND((I26*0.42)*0.9,2)</f>
        <v>0</v>
      </c>
      <c r="L26" s="18">
        <f t="shared" ref="L26" si="296">IF(J26+K26=I26,H26-I26,"ERROR")</f>
        <v>773214.91000000085</v>
      </c>
      <c r="M26" s="7">
        <f t="shared" ref="M26" si="297">ROUND(L26*0.465,2)</f>
        <v>359544.93</v>
      </c>
      <c r="N26" s="7">
        <f>ROUND(L26*0.3,2)</f>
        <v>231964.47</v>
      </c>
      <c r="O26" s="7">
        <f t="shared" ref="O26" si="298">ROUND(L26*0.1285,2)</f>
        <v>99358.12</v>
      </c>
      <c r="P26" s="7">
        <f t="shared" ref="P26" si="299">ROUND((L26*0.07)*0.9,2)</f>
        <v>48712.54</v>
      </c>
      <c r="Q26" s="7">
        <f t="shared" ref="Q26" si="300">ROUND(L26*0.01,2)</f>
        <v>7732.15</v>
      </c>
      <c r="R26" s="7">
        <f t="shared" ref="R26" si="301">ROUND((L26*0.0075)*0.9,2)</f>
        <v>5219.2</v>
      </c>
      <c r="S26" s="7">
        <f t="shared" ref="S26" si="302">ROUND((L26*0.0075)*0.9,2)</f>
        <v>5219.2</v>
      </c>
      <c r="T26" s="7">
        <f>ROUND(L26*0.02,2)</f>
        <v>15464.3</v>
      </c>
      <c r="U26" s="7">
        <f t="shared" ref="U26" si="303">ROUND(M26*0,2)</f>
        <v>0</v>
      </c>
      <c r="V26" s="16">
        <f t="shared" ref="V26" si="304">E26/W26</f>
        <v>1270.3977917981088</v>
      </c>
      <c r="W26" s="8">
        <v>634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12058152.449999999</v>
      </c>
      <c r="C27" s="7">
        <v>10867079.49</v>
      </c>
      <c r="D27" s="7">
        <v>128975.24000000002</v>
      </c>
      <c r="E27" s="7">
        <f t="shared" ref="E27" si="305">B27-C27-D27</f>
        <v>1062097.719999999</v>
      </c>
      <c r="F27" s="7">
        <f>ROUND(E27*0.04,2)</f>
        <v>42483.91</v>
      </c>
      <c r="G27" s="7">
        <f t="shared" ref="G27" si="306">ROUND(E27*0,2)</f>
        <v>0</v>
      </c>
      <c r="H27" s="7">
        <f t="shared" ref="H27" si="307">E27-F27-G27</f>
        <v>1019613.809999999</v>
      </c>
      <c r="I27" s="7">
        <f t="shared" ref="I27" si="308">ROUND(H27*0,2)</f>
        <v>0</v>
      </c>
      <c r="J27" s="7">
        <f t="shared" ref="J27" si="309">ROUND((I27*0.58)+((I27*0.42)*0.1),2)</f>
        <v>0</v>
      </c>
      <c r="K27" s="7">
        <f t="shared" ref="K27" si="310">ROUND((I27*0.42)*0.9,2)</f>
        <v>0</v>
      </c>
      <c r="L27" s="18">
        <f t="shared" ref="L27" si="311">IF(J27+K27=I27,H27-I27,"ERROR")</f>
        <v>1019613.809999999</v>
      </c>
      <c r="M27" s="7">
        <f t="shared" ref="M27" si="312">ROUND(L27*0.465,2)</f>
        <v>474120.42</v>
      </c>
      <c r="N27" s="7">
        <f>ROUND(L27*0.3,2)+0.01</f>
        <v>305884.15000000002</v>
      </c>
      <c r="O27" s="7">
        <f t="shared" ref="O27" si="313">ROUND(L27*0.1285,2)</f>
        <v>131020.37</v>
      </c>
      <c r="P27" s="7">
        <f t="shared" ref="P27" si="314">ROUND((L27*0.07)*0.9,2)</f>
        <v>64235.67</v>
      </c>
      <c r="Q27" s="7">
        <f t="shared" ref="Q27" si="315">ROUND(L27*0.01,2)</f>
        <v>10196.14</v>
      </c>
      <c r="R27" s="7">
        <f t="shared" ref="R27" si="316">ROUND((L27*0.0075)*0.9,2)</f>
        <v>6882.39</v>
      </c>
      <c r="S27" s="7">
        <f t="shared" ref="S27" si="317">ROUND((L27*0.0075)*0.9,2)</f>
        <v>6882.39</v>
      </c>
      <c r="T27" s="7">
        <f>ROUND(L27*0.02,2)</f>
        <v>20392.28</v>
      </c>
      <c r="U27" s="7">
        <f t="shared" ref="U27" si="318">ROUND(M27*0,2)</f>
        <v>0</v>
      </c>
      <c r="V27" s="16">
        <f t="shared" ref="V27" si="319">E27/W27</f>
        <v>1646.6631317829442</v>
      </c>
      <c r="W27" s="8">
        <v>645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9852950.5099999998</v>
      </c>
      <c r="C28" s="7">
        <v>8928655.5899999999</v>
      </c>
      <c r="D28" s="7">
        <v>111394.57</v>
      </c>
      <c r="E28" s="7">
        <f t="shared" ref="E28" si="320">B28-C28-D28</f>
        <v>812900.34999999986</v>
      </c>
      <c r="F28" s="7">
        <f>ROUND(E28*0.04,2)+0.01</f>
        <v>32516.019999999997</v>
      </c>
      <c r="G28" s="7">
        <f t="shared" ref="G28" si="321">ROUND(E28*0,2)</f>
        <v>0</v>
      </c>
      <c r="H28" s="7">
        <f t="shared" ref="H28" si="322">E28-F28-G28</f>
        <v>780384.32999999984</v>
      </c>
      <c r="I28" s="7">
        <f t="shared" ref="I28" si="323">ROUND(H28*0,2)</f>
        <v>0</v>
      </c>
      <c r="J28" s="7">
        <f t="shared" ref="J28" si="324">ROUND((I28*0.58)+((I28*0.42)*0.1),2)</f>
        <v>0</v>
      </c>
      <c r="K28" s="7">
        <f t="shared" ref="K28" si="325">ROUND((I28*0.42)*0.9,2)</f>
        <v>0</v>
      </c>
      <c r="L28" s="18">
        <f t="shared" ref="L28" si="326">IF(J28+K28=I28,H28-I28,"ERROR")</f>
        <v>780384.32999999984</v>
      </c>
      <c r="M28" s="7">
        <f t="shared" ref="M28" si="327">ROUND(L28*0.465,2)</f>
        <v>362878.71</v>
      </c>
      <c r="N28" s="7">
        <f>ROUND(L28*0.3,2)+0.02</f>
        <v>234115.31999999998</v>
      </c>
      <c r="O28" s="7">
        <f t="shared" ref="O28" si="328">ROUND(L28*0.1285,2)</f>
        <v>100279.39</v>
      </c>
      <c r="P28" s="7">
        <f t="shared" ref="P28" si="329">ROUND((L28*0.07)*0.9,2)</f>
        <v>49164.21</v>
      </c>
      <c r="Q28" s="7">
        <f t="shared" ref="Q28" si="330">ROUND(L28*0.01,2)</f>
        <v>7803.84</v>
      </c>
      <c r="R28" s="7">
        <f t="shared" ref="R28" si="331">ROUND((L28*0.0075)*0.9,2)</f>
        <v>5267.59</v>
      </c>
      <c r="S28" s="7">
        <f t="shared" ref="S28" si="332">ROUND((L28*0.0075)*0.9,2)</f>
        <v>5267.59</v>
      </c>
      <c r="T28" s="7">
        <f>ROUND(L28*0.02,2)-0.01</f>
        <v>15607.68</v>
      </c>
      <c r="U28" s="7">
        <f t="shared" ref="U28" si="333">ROUND(M28*0,2)</f>
        <v>0</v>
      </c>
      <c r="V28" s="16">
        <f t="shared" ref="V28" si="334">E28/W28</f>
        <v>1292.3693958664544</v>
      </c>
      <c r="W28" s="8">
        <v>629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10092913.210000001</v>
      </c>
      <c r="C29" s="7">
        <v>9088675.9500000011</v>
      </c>
      <c r="D29" s="7">
        <v>119582.15</v>
      </c>
      <c r="E29" s="7">
        <f t="shared" ref="E29" si="335">B29-C29-D29</f>
        <v>884655.10999999975</v>
      </c>
      <c r="F29" s="7">
        <f>ROUND(E29*0.04,2)</f>
        <v>35386.199999999997</v>
      </c>
      <c r="G29" s="7">
        <f t="shared" ref="G29" si="336">ROUND(E29*0,2)</f>
        <v>0</v>
      </c>
      <c r="H29" s="7">
        <f t="shared" ref="H29" si="337">E29-F29-G29</f>
        <v>849268.9099999998</v>
      </c>
      <c r="I29" s="7">
        <f t="shared" ref="I29" si="338">ROUND(H29*0,2)</f>
        <v>0</v>
      </c>
      <c r="J29" s="7">
        <f t="shared" ref="J29" si="339">ROUND((I29*0.58)+((I29*0.42)*0.1),2)</f>
        <v>0</v>
      </c>
      <c r="K29" s="7">
        <f t="shared" ref="K29" si="340">ROUND((I29*0.42)*0.9,2)</f>
        <v>0</v>
      </c>
      <c r="L29" s="18">
        <f t="shared" ref="L29" si="341">IF(J29+K29=I29,H29-I29,"ERROR")</f>
        <v>849268.9099999998</v>
      </c>
      <c r="M29" s="7">
        <f t="shared" ref="M29" si="342">ROUND(L29*0.465,2)</f>
        <v>394910.04</v>
      </c>
      <c r="N29" s="7">
        <f>ROUND(L29*0.3,2)</f>
        <v>254780.67</v>
      </c>
      <c r="O29" s="7">
        <f t="shared" ref="O29" si="343">ROUND(L29*0.1285,2)</f>
        <v>109131.05</v>
      </c>
      <c r="P29" s="7">
        <f t="shared" ref="P29" si="344">ROUND((L29*0.07)*0.9,2)</f>
        <v>53503.94</v>
      </c>
      <c r="Q29" s="7">
        <f t="shared" ref="Q29" si="345">ROUND(L29*0.01,2)</f>
        <v>8492.69</v>
      </c>
      <c r="R29" s="7">
        <f t="shared" ref="R29" si="346">ROUND((L29*0.0075)*0.9,2)</f>
        <v>5732.57</v>
      </c>
      <c r="S29" s="7">
        <f t="shared" ref="S29" si="347">ROUND((L29*0.0075)*0.9,2)</f>
        <v>5732.57</v>
      </c>
      <c r="T29" s="7">
        <f>ROUND(L29*0.02,2)</f>
        <v>16985.38</v>
      </c>
      <c r="U29" s="7">
        <f t="shared" ref="U29" si="348">ROUND(M29*0,2)</f>
        <v>0</v>
      </c>
      <c r="V29" s="16">
        <f t="shared" ref="V29" si="349">E29/W29</f>
        <v>1388.7835321821033</v>
      </c>
      <c r="W29" s="8">
        <v>637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9887285.1400000006</v>
      </c>
      <c r="C30" s="7">
        <v>8938946.790000001</v>
      </c>
      <c r="D30" s="7">
        <v>110720.86</v>
      </c>
      <c r="E30" s="7">
        <f t="shared" ref="E30" si="350">B30-C30-D30</f>
        <v>837617.48999999964</v>
      </c>
      <c r="F30" s="7">
        <f>ROUND(E30*0.04,2)+0.01</f>
        <v>33504.71</v>
      </c>
      <c r="G30" s="7">
        <f t="shared" ref="G30" si="351">ROUND(E30*0,2)</f>
        <v>0</v>
      </c>
      <c r="H30" s="7">
        <f t="shared" ref="H30" si="352">E30-F30-G30</f>
        <v>804112.77999999968</v>
      </c>
      <c r="I30" s="7">
        <f t="shared" ref="I30" si="353">ROUND(H30*0,2)</f>
        <v>0</v>
      </c>
      <c r="J30" s="7">
        <f t="shared" ref="J30" si="354">ROUND((I30*0.58)+((I30*0.42)*0.1),2)</f>
        <v>0</v>
      </c>
      <c r="K30" s="7">
        <f t="shared" ref="K30" si="355">ROUND((I30*0.42)*0.9,2)</f>
        <v>0</v>
      </c>
      <c r="L30" s="18">
        <f t="shared" ref="L30" si="356">IF(J30+K30=I30,H30-I30,"ERROR")</f>
        <v>804112.77999999968</v>
      </c>
      <c r="M30" s="7">
        <f t="shared" ref="M30" si="357">ROUND(L30*0.465,2)</f>
        <v>373912.44</v>
      </c>
      <c r="N30" s="7">
        <f>ROUND(L30*0.3,2)</f>
        <v>241233.83</v>
      </c>
      <c r="O30" s="7">
        <f t="shared" ref="O30" si="358">ROUND(L30*0.1285,2)</f>
        <v>103328.49</v>
      </c>
      <c r="P30" s="7">
        <f t="shared" ref="P30" si="359">ROUND((L30*0.07)*0.9,2)</f>
        <v>50659.11</v>
      </c>
      <c r="Q30" s="7">
        <f t="shared" ref="Q30" si="360">ROUND(L30*0.01,2)</f>
        <v>8041.13</v>
      </c>
      <c r="R30" s="7">
        <f t="shared" ref="R30" si="361">ROUND((L30*0.0075)*0.9,2)</f>
        <v>5427.76</v>
      </c>
      <c r="S30" s="7">
        <f t="shared" ref="S30" si="362">ROUND((L30*0.0075)*0.9,2)</f>
        <v>5427.76</v>
      </c>
      <c r="T30" s="7">
        <v>13646.35</v>
      </c>
      <c r="U30" s="7">
        <v>2435.91</v>
      </c>
      <c r="V30" s="16">
        <f t="shared" ref="V30" si="363">E30/W30</f>
        <v>1300.648276397515</v>
      </c>
      <c r="W30" s="8">
        <v>644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12443539.51</v>
      </c>
      <c r="C31" s="7">
        <v>11090249.83</v>
      </c>
      <c r="D31" s="7">
        <v>129489.97999999998</v>
      </c>
      <c r="E31" s="7">
        <f t="shared" ref="E31" si="364">B31-C31-D31</f>
        <v>1223799.6999999997</v>
      </c>
      <c r="F31" s="7">
        <f t="shared" ref="F31:F36" si="365">ROUND(E31*0.04,2)</f>
        <v>48951.99</v>
      </c>
      <c r="G31" s="7">
        <f t="shared" ref="G31" si="366">ROUND(E31*0,2)</f>
        <v>0</v>
      </c>
      <c r="H31" s="7">
        <f t="shared" ref="H31" si="367">E31-F31-G31</f>
        <v>1174847.7099999997</v>
      </c>
      <c r="I31" s="7">
        <f t="shared" ref="I31" si="368">ROUND(H31*0,2)</f>
        <v>0</v>
      </c>
      <c r="J31" s="7">
        <f t="shared" ref="J31" si="369">ROUND((I31*0.58)+((I31*0.42)*0.1),2)</f>
        <v>0</v>
      </c>
      <c r="K31" s="7">
        <f t="shared" ref="K31" si="370">ROUND((I31*0.42)*0.9,2)</f>
        <v>0</v>
      </c>
      <c r="L31" s="18">
        <f t="shared" ref="L31" si="371">IF(J31+K31=I31,H31-I31,"ERROR")</f>
        <v>1174847.7099999997</v>
      </c>
      <c r="M31" s="7">
        <f t="shared" ref="M31" si="372">ROUND(L31*0.465,2)</f>
        <v>546304.18999999994</v>
      </c>
      <c r="N31" s="7">
        <f>ROUND(L31*0.3,2)-0.01</f>
        <v>352454.3</v>
      </c>
      <c r="O31" s="7">
        <f t="shared" ref="O31" si="373">ROUND(L31*0.1285,2)</f>
        <v>150967.93</v>
      </c>
      <c r="P31" s="7">
        <f t="shared" ref="P31" si="374">ROUND((L31*0.07)*0.9,2)</f>
        <v>74015.41</v>
      </c>
      <c r="Q31" s="7">
        <f t="shared" ref="Q31" si="375">ROUND(L31*0.01,2)</f>
        <v>11748.48</v>
      </c>
      <c r="R31" s="7">
        <f t="shared" ref="R31" si="376">ROUND((L31*0.0075)*0.9,2)</f>
        <v>7930.22</v>
      </c>
      <c r="S31" s="7">
        <f t="shared" ref="S31" si="377">ROUND((L31*0.0075)*0.9,2)</f>
        <v>7930.22</v>
      </c>
      <c r="T31" s="20">
        <f t="shared" ref="T31:T36" si="378">ROUND(L31*0.01,2)</f>
        <v>11748.48</v>
      </c>
      <c r="U31" s="20">
        <f t="shared" ref="U31:U36" si="379">ROUND(L31*0.01,2)</f>
        <v>11748.48</v>
      </c>
      <c r="V31" s="16">
        <f t="shared" ref="V31" si="380">E31/W31</f>
        <v>1903.2654743390353</v>
      </c>
      <c r="W31" s="8">
        <v>643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14329142.82</v>
      </c>
      <c r="C32" s="7">
        <v>13092267.199999999</v>
      </c>
      <c r="D32" s="7">
        <v>131671.43</v>
      </c>
      <c r="E32" s="7">
        <f t="shared" ref="E32" si="381">B32-C32-D32</f>
        <v>1105204.1900000011</v>
      </c>
      <c r="F32" s="7">
        <f t="shared" si="365"/>
        <v>44208.17</v>
      </c>
      <c r="G32" s="7">
        <f t="shared" ref="G32" si="382">ROUND(E32*0,2)</f>
        <v>0</v>
      </c>
      <c r="H32" s="7">
        <f t="shared" ref="H32" si="383">E32-F32-G32</f>
        <v>1060996.0200000012</v>
      </c>
      <c r="I32" s="7">
        <f t="shared" ref="I32" si="384">ROUND(H32*0,2)</f>
        <v>0</v>
      </c>
      <c r="J32" s="7">
        <f t="shared" ref="J32" si="385">ROUND((I32*0.58)+((I32*0.42)*0.1),2)</f>
        <v>0</v>
      </c>
      <c r="K32" s="7">
        <f t="shared" ref="K32" si="386">ROUND((I32*0.42)*0.9,2)</f>
        <v>0</v>
      </c>
      <c r="L32" s="18">
        <f t="shared" ref="L32" si="387">IF(J32+K32=I32,H32-I32,"ERROR")</f>
        <v>1060996.0200000012</v>
      </c>
      <c r="M32" s="7">
        <f t="shared" ref="M32" si="388">ROUND(L32*0.465,2)</f>
        <v>493363.15</v>
      </c>
      <c r="N32" s="7">
        <f>ROUND(L32*0.3,2)</f>
        <v>318298.81</v>
      </c>
      <c r="O32" s="7">
        <f t="shared" ref="O32" si="389">ROUND(L32*0.1285,2)</f>
        <v>136337.99</v>
      </c>
      <c r="P32" s="7">
        <f t="shared" ref="P32" si="390">ROUND((L32*0.07)*0.9,2)</f>
        <v>66842.75</v>
      </c>
      <c r="Q32" s="7">
        <f t="shared" ref="Q32" si="391">ROUND(L32*0.01,2)</f>
        <v>10609.96</v>
      </c>
      <c r="R32" s="7">
        <f t="shared" ref="R32" si="392">ROUND((L32*0.0075)*0.9,2)</f>
        <v>7161.72</v>
      </c>
      <c r="S32" s="7">
        <f t="shared" ref="S32" si="393">ROUND((L32*0.0075)*0.9,2)</f>
        <v>7161.72</v>
      </c>
      <c r="T32" s="20">
        <f t="shared" si="378"/>
        <v>10609.96</v>
      </c>
      <c r="U32" s="20">
        <f t="shared" si="379"/>
        <v>10609.96</v>
      </c>
      <c r="V32" s="16">
        <f t="shared" ref="V32" si="394">E32/W32</f>
        <v>1697.7022887864841</v>
      </c>
      <c r="W32" s="8">
        <v>651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5000886.75</v>
      </c>
      <c r="C33" s="7">
        <v>4577352.6500000004</v>
      </c>
      <c r="D33" s="7">
        <v>68636.5</v>
      </c>
      <c r="E33" s="7">
        <f t="shared" ref="E33" si="395">B33-C33-D33</f>
        <v>354897.59999999963</v>
      </c>
      <c r="F33" s="7">
        <f t="shared" si="365"/>
        <v>14195.9</v>
      </c>
      <c r="G33" s="7">
        <f t="shared" ref="G33" si="396">ROUND(E33*0,2)</f>
        <v>0</v>
      </c>
      <c r="H33" s="7">
        <f t="shared" ref="H33" si="397">E33-F33-G33</f>
        <v>340701.6999999996</v>
      </c>
      <c r="I33" s="7">
        <f t="shared" ref="I33" si="398">ROUND(H33*0,2)</f>
        <v>0</v>
      </c>
      <c r="J33" s="7">
        <f t="shared" ref="J33" si="399">ROUND((I33*0.58)+((I33*0.42)*0.1),2)</f>
        <v>0</v>
      </c>
      <c r="K33" s="7">
        <f t="shared" ref="K33" si="400">ROUND((I33*0.42)*0.9,2)</f>
        <v>0</v>
      </c>
      <c r="L33" s="18">
        <f t="shared" ref="L33" si="401">IF(J33+K33=I33,H33-I33,"ERROR")</f>
        <v>340701.6999999996</v>
      </c>
      <c r="M33" s="7">
        <f t="shared" ref="M33" si="402">ROUND(L33*0.465,2)</f>
        <v>158426.29</v>
      </c>
      <c r="N33" s="7">
        <f>ROUND(L33*0.3,2)-0.02</f>
        <v>102210.48999999999</v>
      </c>
      <c r="O33" s="7">
        <f t="shared" ref="O33" si="403">ROUND(L33*0.1285,2)</f>
        <v>43780.17</v>
      </c>
      <c r="P33" s="7">
        <f t="shared" ref="P33" si="404">ROUND((L33*0.07)*0.9,2)</f>
        <v>21464.21</v>
      </c>
      <c r="Q33" s="7">
        <f t="shared" ref="Q33" si="405">ROUND(L33*0.01,2)</f>
        <v>3407.02</v>
      </c>
      <c r="R33" s="7">
        <f t="shared" ref="R33" si="406">ROUND((L33*0.0075)*0.9,2)</f>
        <v>2299.7399999999998</v>
      </c>
      <c r="S33" s="7">
        <f t="shared" ref="S33" si="407">ROUND((L33*0.0075)*0.9,2)</f>
        <v>2299.7399999999998</v>
      </c>
      <c r="T33" s="20">
        <f t="shared" si="378"/>
        <v>3407.02</v>
      </c>
      <c r="U33" s="20">
        <f t="shared" si="379"/>
        <v>3407.02</v>
      </c>
      <c r="V33" s="16">
        <f t="shared" ref="V33" si="408">E33/W33</f>
        <v>594.46834170854208</v>
      </c>
      <c r="W33" s="8">
        <v>597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10235003.82</v>
      </c>
      <c r="C34" s="7">
        <v>9212832.0600000005</v>
      </c>
      <c r="D34" s="7">
        <v>116296.26999999999</v>
      </c>
      <c r="E34" s="7">
        <f t="shared" ref="E34" si="409">B34-C34-D34</f>
        <v>905875.48999999976</v>
      </c>
      <c r="F34" s="7">
        <f t="shared" si="365"/>
        <v>36235.019999999997</v>
      </c>
      <c r="G34" s="7">
        <f t="shared" ref="G34" si="410">ROUND(E34*0,2)</f>
        <v>0</v>
      </c>
      <c r="H34" s="7">
        <f t="shared" ref="H34" si="411">E34-F34-G34</f>
        <v>869640.46999999974</v>
      </c>
      <c r="I34" s="7">
        <f t="shared" ref="I34" si="412">ROUND(H34*0,2)</f>
        <v>0</v>
      </c>
      <c r="J34" s="7">
        <f t="shared" ref="J34" si="413">ROUND((I34*0.58)+((I34*0.42)*0.1),2)</f>
        <v>0</v>
      </c>
      <c r="K34" s="7">
        <f t="shared" ref="K34" si="414">ROUND((I34*0.42)*0.9,2)</f>
        <v>0</v>
      </c>
      <c r="L34" s="18">
        <f t="shared" ref="L34" si="415">IF(J34+K34=I34,H34-I34,"ERROR")</f>
        <v>869640.46999999974</v>
      </c>
      <c r="M34" s="7">
        <f t="shared" ref="M34" si="416">ROUND(L34*0.465,2)</f>
        <v>404382.82</v>
      </c>
      <c r="N34" s="7">
        <f>ROUND(L34*0.3,2)+0.02</f>
        <v>260892.16</v>
      </c>
      <c r="O34" s="7">
        <f t="shared" ref="O34" si="417">ROUND(L34*0.1285,2)</f>
        <v>111748.8</v>
      </c>
      <c r="P34" s="7">
        <f t="shared" ref="P34" si="418">ROUND((L34*0.07)*0.9,2)</f>
        <v>54787.35</v>
      </c>
      <c r="Q34" s="7">
        <f t="shared" ref="Q34" si="419">ROUND(L34*0.01,2)</f>
        <v>8696.4</v>
      </c>
      <c r="R34" s="7">
        <f t="shared" ref="R34" si="420">ROUND((L34*0.0075)*0.9,2)</f>
        <v>5870.07</v>
      </c>
      <c r="S34" s="7">
        <f t="shared" ref="S34" si="421">ROUND((L34*0.0075)*0.9,2)</f>
        <v>5870.07</v>
      </c>
      <c r="T34" s="20">
        <f t="shared" si="378"/>
        <v>8696.4</v>
      </c>
      <c r="U34" s="20">
        <f t="shared" si="379"/>
        <v>8696.4</v>
      </c>
      <c r="V34" s="16">
        <f t="shared" ref="V34" si="422">E34/W34</f>
        <v>1393.6545999999996</v>
      </c>
      <c r="W34" s="8">
        <v>650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9245883.1100000013</v>
      </c>
      <c r="C35" s="7">
        <v>8373029.3499999996</v>
      </c>
      <c r="D35" s="7">
        <v>112324.78</v>
      </c>
      <c r="E35" s="7">
        <f t="shared" ref="E35" si="423">B35-C35-D35</f>
        <v>760528.98000000161</v>
      </c>
      <c r="F35" s="7">
        <f t="shared" si="365"/>
        <v>30421.16</v>
      </c>
      <c r="G35" s="7">
        <f t="shared" ref="G35" si="424">ROUND(E35*0,2)</f>
        <v>0</v>
      </c>
      <c r="H35" s="7">
        <f t="shared" ref="H35" si="425">E35-F35-G35</f>
        <v>730107.82000000158</v>
      </c>
      <c r="I35" s="7">
        <f t="shared" ref="I35" si="426">ROUND(H35*0,2)</f>
        <v>0</v>
      </c>
      <c r="J35" s="7">
        <f t="shared" ref="J35" si="427">ROUND((I35*0.58)+((I35*0.42)*0.1),2)</f>
        <v>0</v>
      </c>
      <c r="K35" s="7">
        <f t="shared" ref="K35" si="428">ROUND((I35*0.42)*0.9,2)</f>
        <v>0</v>
      </c>
      <c r="L35" s="18">
        <f t="shared" ref="L35" si="429">IF(J35+K35=I35,H35-I35,"ERROR")</f>
        <v>730107.82000000158</v>
      </c>
      <c r="M35" s="7">
        <f t="shared" ref="M35" si="430">ROUND(L35*0.465,2)</f>
        <v>339500.14</v>
      </c>
      <c r="N35" s="7">
        <f>ROUND(L35*0.3,2)-0.01</f>
        <v>219032.34</v>
      </c>
      <c r="O35" s="7">
        <f t="shared" ref="O35" si="431">ROUND(L35*0.1285,2)</f>
        <v>93818.85</v>
      </c>
      <c r="P35" s="7">
        <f t="shared" ref="P35" si="432">ROUND((L35*0.07)*0.9,2)</f>
        <v>45996.79</v>
      </c>
      <c r="Q35" s="7">
        <f t="shared" ref="Q35" si="433">ROUND(L35*0.01,2)</f>
        <v>7301.08</v>
      </c>
      <c r="R35" s="7">
        <f t="shared" ref="R35" si="434">ROUND((L35*0.0075)*0.9,2)</f>
        <v>4928.2299999999996</v>
      </c>
      <c r="S35" s="7">
        <f t="shared" ref="S35" si="435">ROUND((L35*0.0075)*0.9,2)</f>
        <v>4928.2299999999996</v>
      </c>
      <c r="T35" s="20">
        <f t="shared" si="378"/>
        <v>7301.08</v>
      </c>
      <c r="U35" s="20">
        <f t="shared" si="379"/>
        <v>7301.08</v>
      </c>
      <c r="V35" s="16">
        <f t="shared" ref="V35" si="436">E35/W35</f>
        <v>1188.3265312500025</v>
      </c>
      <c r="W35" s="8">
        <v>640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10606950.74</v>
      </c>
      <c r="C36" s="7">
        <v>9495399.1799999997</v>
      </c>
      <c r="D36" s="7">
        <v>126916.35</v>
      </c>
      <c r="E36" s="7">
        <f t="shared" ref="E36" si="437">B36-C36-D36</f>
        <v>984635.21000000054</v>
      </c>
      <c r="F36" s="7">
        <f t="shared" si="365"/>
        <v>39385.410000000003</v>
      </c>
      <c r="G36" s="7">
        <f t="shared" ref="G36" si="438">ROUND(E36*0,2)</f>
        <v>0</v>
      </c>
      <c r="H36" s="7">
        <f t="shared" ref="H36" si="439">E36-F36-G36</f>
        <v>945249.80000000051</v>
      </c>
      <c r="I36" s="7">
        <f t="shared" ref="I36" si="440">ROUND(H36*0,2)</f>
        <v>0</v>
      </c>
      <c r="J36" s="7">
        <f t="shared" ref="J36" si="441">ROUND((I36*0.58)+((I36*0.42)*0.1),2)</f>
        <v>0</v>
      </c>
      <c r="K36" s="7">
        <f t="shared" ref="K36" si="442">ROUND((I36*0.42)*0.9,2)</f>
        <v>0</v>
      </c>
      <c r="L36" s="18">
        <f t="shared" ref="L36" si="443">IF(J36+K36=I36,H36-I36,"ERROR")</f>
        <v>945249.80000000051</v>
      </c>
      <c r="M36" s="7">
        <f t="shared" ref="M36" si="444">ROUND(L36*0.465,2)</f>
        <v>439541.16</v>
      </c>
      <c r="N36" s="7">
        <f>ROUND(L36*0.3,2)-0.02</f>
        <v>283574.92</v>
      </c>
      <c r="O36" s="7">
        <f t="shared" ref="O36" si="445">ROUND(L36*0.1285,2)</f>
        <v>121464.6</v>
      </c>
      <c r="P36" s="7">
        <f t="shared" ref="P36" si="446">ROUND((L36*0.07)*0.9,2)</f>
        <v>59550.74</v>
      </c>
      <c r="Q36" s="7">
        <f t="shared" ref="Q36" si="447">ROUND(L36*0.01,2)</f>
        <v>9452.5</v>
      </c>
      <c r="R36" s="7">
        <f t="shared" ref="R36" si="448">ROUND((L36*0.0075)*0.9,2)</f>
        <v>6380.44</v>
      </c>
      <c r="S36" s="7">
        <f t="shared" ref="S36" si="449">ROUND((L36*0.0075)*0.9,2)</f>
        <v>6380.44</v>
      </c>
      <c r="T36" s="20">
        <f t="shared" si="378"/>
        <v>9452.5</v>
      </c>
      <c r="U36" s="20">
        <f t="shared" si="379"/>
        <v>9452.5</v>
      </c>
      <c r="V36" s="16">
        <f t="shared" ref="V36" si="450">E36/W36</f>
        <v>1521.8473106646068</v>
      </c>
      <c r="W36" s="8">
        <v>647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10968254.530000001</v>
      </c>
      <c r="C37" s="7">
        <v>9997831.6400000006</v>
      </c>
      <c r="D37" s="7">
        <v>135224.54</v>
      </c>
      <c r="E37" s="7">
        <f t="shared" ref="E37" si="451">B37-C37-D37</f>
        <v>835198.35000000056</v>
      </c>
      <c r="F37" s="7">
        <f>ROUND(E37*0.04,2)+0.01</f>
        <v>33407.94</v>
      </c>
      <c r="G37" s="7">
        <f t="shared" ref="G37" si="452">ROUND(E37*0,2)</f>
        <v>0</v>
      </c>
      <c r="H37" s="7">
        <f t="shared" ref="H37" si="453">E37-F37-G37</f>
        <v>801790.41000000061</v>
      </c>
      <c r="I37" s="7">
        <f t="shared" ref="I37" si="454">ROUND(H37*0,2)</f>
        <v>0</v>
      </c>
      <c r="J37" s="7">
        <f t="shared" ref="J37" si="455">ROUND((I37*0.58)+((I37*0.42)*0.1),2)</f>
        <v>0</v>
      </c>
      <c r="K37" s="7">
        <f t="shared" ref="K37" si="456">ROUND((I37*0.42)*0.9,2)</f>
        <v>0</v>
      </c>
      <c r="L37" s="18">
        <f t="shared" ref="L37" si="457">IF(J37+K37=I37,H37-I37,"ERROR")</f>
        <v>801790.41000000061</v>
      </c>
      <c r="M37" s="7">
        <f t="shared" ref="M37" si="458">ROUND(L37*0.465,2)</f>
        <v>372832.54</v>
      </c>
      <c r="N37" s="7">
        <f>ROUND(L37*0.3,2)</f>
        <v>240537.12</v>
      </c>
      <c r="O37" s="7">
        <f t="shared" ref="O37" si="459">ROUND(L37*0.1285,2)</f>
        <v>103030.07</v>
      </c>
      <c r="P37" s="7">
        <f t="shared" ref="P37" si="460">ROUND((L37*0.07)*0.9,2)</f>
        <v>50512.800000000003</v>
      </c>
      <c r="Q37" s="7">
        <f t="shared" ref="Q37" si="461">ROUND(L37*0.01,2)</f>
        <v>8017.9</v>
      </c>
      <c r="R37" s="7">
        <f t="shared" ref="R37" si="462">ROUND((L37*0.0075)*0.9,2)</f>
        <v>5412.09</v>
      </c>
      <c r="S37" s="7">
        <f t="shared" ref="S37" si="463">ROUND((L37*0.0075)*0.9,2)</f>
        <v>5412.09</v>
      </c>
      <c r="T37" s="20">
        <f t="shared" ref="T37" si="464">ROUND(L37*0.01,2)</f>
        <v>8017.9</v>
      </c>
      <c r="U37" s="20">
        <f t="shared" ref="U37" si="465">ROUND(L37*0.01,2)</f>
        <v>8017.9</v>
      </c>
      <c r="V37" s="16">
        <f t="shared" ref="V37" si="466">E37/W37</f>
        <v>1292.8767027863785</v>
      </c>
      <c r="W37" s="8">
        <v>646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10702826.23</v>
      </c>
      <c r="C38" s="7">
        <v>9897343.3599999994</v>
      </c>
      <c r="D38" s="7">
        <v>130065.12999999999</v>
      </c>
      <c r="E38" s="7">
        <f t="shared" ref="E38" si="467">B38-C38-D38</f>
        <v>675417.74000000104</v>
      </c>
      <c r="F38" s="7">
        <f>ROUND(E38*0.04,2)+0.01</f>
        <v>27016.719999999998</v>
      </c>
      <c r="G38" s="7">
        <f t="shared" ref="G38" si="468">ROUND(E38*0,2)</f>
        <v>0</v>
      </c>
      <c r="H38" s="7">
        <f t="shared" ref="H38" si="469">E38-F38-G38</f>
        <v>648401.02000000107</v>
      </c>
      <c r="I38" s="7">
        <f t="shared" ref="I38" si="470">ROUND(H38*0,2)</f>
        <v>0</v>
      </c>
      <c r="J38" s="7">
        <f t="shared" ref="J38" si="471">ROUND((I38*0.58)+((I38*0.42)*0.1),2)</f>
        <v>0</v>
      </c>
      <c r="K38" s="7">
        <f t="shared" ref="K38" si="472">ROUND((I38*0.42)*0.9,2)</f>
        <v>0</v>
      </c>
      <c r="L38" s="18">
        <f t="shared" ref="L38" si="473">IF(J38+K38=I38,H38-I38,"ERROR")</f>
        <v>648401.02000000107</v>
      </c>
      <c r="M38" s="7">
        <f t="shared" ref="M38" si="474">ROUND(L38*0.465,2)</f>
        <v>301506.46999999997</v>
      </c>
      <c r="N38" s="7">
        <f>ROUND(L38*0.3,2)</f>
        <v>194520.31</v>
      </c>
      <c r="O38" s="7">
        <f t="shared" ref="O38" si="475">ROUND(L38*0.1285,2)</f>
        <v>83319.53</v>
      </c>
      <c r="P38" s="7">
        <f t="shared" ref="P38" si="476">ROUND((L38*0.07)*0.9,2)</f>
        <v>40849.26</v>
      </c>
      <c r="Q38" s="7">
        <f t="shared" ref="Q38" si="477">ROUND(L38*0.01,2)</f>
        <v>6484.01</v>
      </c>
      <c r="R38" s="7">
        <f t="shared" ref="R38" si="478">ROUND((L38*0.0075)*0.9,2)</f>
        <v>4376.71</v>
      </c>
      <c r="S38" s="7">
        <f t="shared" ref="S38" si="479">ROUND((L38*0.0075)*0.9,2)</f>
        <v>4376.71</v>
      </c>
      <c r="T38" s="20">
        <f t="shared" ref="T38" si="480">ROUND(L38*0.01,2)</f>
        <v>6484.01</v>
      </c>
      <c r="U38" s="20">
        <f t="shared" ref="U38" si="481">ROUND(L38*0.01,2)</f>
        <v>6484.01</v>
      </c>
      <c r="V38" s="16">
        <f t="shared" ref="V38" si="482">E38/W38</f>
        <v>1061.9775786163539</v>
      </c>
      <c r="W38" s="8">
        <v>636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11781434.27</v>
      </c>
      <c r="C39" s="7">
        <v>10694291.35</v>
      </c>
      <c r="D39" s="7">
        <v>143049.38999999998</v>
      </c>
      <c r="E39" s="7">
        <f t="shared" ref="E39" si="483">B39-C39-D39</f>
        <v>944093.52999999991</v>
      </c>
      <c r="F39" s="7">
        <f>ROUND(E39*0.04,2)</f>
        <v>37763.74</v>
      </c>
      <c r="G39" s="7">
        <f t="shared" ref="G39" si="484">ROUND(E39*0,2)</f>
        <v>0</v>
      </c>
      <c r="H39" s="7">
        <f t="shared" ref="H39" si="485">E39-F39-G39</f>
        <v>906329.78999999992</v>
      </c>
      <c r="I39" s="7">
        <f t="shared" ref="I39" si="486">ROUND(H39*0,2)</f>
        <v>0</v>
      </c>
      <c r="J39" s="7">
        <f t="shared" ref="J39" si="487">ROUND((I39*0.58)+((I39*0.42)*0.1),2)</f>
        <v>0</v>
      </c>
      <c r="K39" s="7">
        <f t="shared" ref="K39" si="488">ROUND((I39*0.42)*0.9,2)</f>
        <v>0</v>
      </c>
      <c r="L39" s="18">
        <f t="shared" ref="L39" si="489">IF(J39+K39=I39,H39-I39,"ERROR")</f>
        <v>906329.78999999992</v>
      </c>
      <c r="M39" s="7">
        <f t="shared" ref="M39" si="490">ROUND(L39*0.465,2)</f>
        <v>421443.35</v>
      </c>
      <c r="N39" s="7">
        <f>ROUND(L39*0.3,2)-0.02</f>
        <v>271898.92</v>
      </c>
      <c r="O39" s="7">
        <f t="shared" ref="O39" si="491">ROUND(L39*0.1285,2)</f>
        <v>116463.38</v>
      </c>
      <c r="P39" s="7">
        <f t="shared" ref="P39" si="492">ROUND((L39*0.07)*0.9,2)</f>
        <v>57098.78</v>
      </c>
      <c r="Q39" s="7">
        <f t="shared" ref="Q39" si="493">ROUND(L39*0.01,2)</f>
        <v>9063.2999999999993</v>
      </c>
      <c r="R39" s="7">
        <f t="shared" ref="R39" si="494">ROUND((L39*0.0075)*0.9,2)</f>
        <v>6117.73</v>
      </c>
      <c r="S39" s="7">
        <f t="shared" ref="S39" si="495">ROUND((L39*0.0075)*0.9,2)</f>
        <v>6117.73</v>
      </c>
      <c r="T39" s="20">
        <f t="shared" ref="T39" si="496">ROUND(L39*0.01,2)</f>
        <v>9063.2999999999993</v>
      </c>
      <c r="U39" s="20">
        <f t="shared" ref="U39" si="497">ROUND(L39*0.01,2)</f>
        <v>9063.2999999999993</v>
      </c>
      <c r="V39" s="16">
        <f t="shared" ref="V39" si="498">E39/W39</f>
        <v>1484.4237893081759</v>
      </c>
      <c r="W39" s="8">
        <v>636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12453259.509999998</v>
      </c>
      <c r="C40" s="7">
        <v>11295564.959999999</v>
      </c>
      <c r="D40" s="7">
        <v>154348.07</v>
      </c>
      <c r="E40" s="7">
        <f t="shared" ref="E40" si="499">B40-C40-D40</f>
        <v>1003346.4799999988</v>
      </c>
      <c r="F40" s="7">
        <f>ROUND(E40*0.04,2)-0.01</f>
        <v>40133.85</v>
      </c>
      <c r="G40" s="7">
        <f t="shared" ref="G40" si="500">ROUND(E40*0,2)</f>
        <v>0</v>
      </c>
      <c r="H40" s="7">
        <f t="shared" ref="H40" si="501">E40-F40-G40</f>
        <v>963212.62999999884</v>
      </c>
      <c r="I40" s="7">
        <f t="shared" ref="I40" si="502">ROUND(H40*0,2)</f>
        <v>0</v>
      </c>
      <c r="J40" s="7">
        <f t="shared" ref="J40" si="503">ROUND((I40*0.58)+((I40*0.42)*0.1),2)</f>
        <v>0</v>
      </c>
      <c r="K40" s="7">
        <f t="shared" ref="K40" si="504">ROUND((I40*0.42)*0.9,2)</f>
        <v>0</v>
      </c>
      <c r="L40" s="18">
        <f t="shared" ref="L40" si="505">IF(J40+K40=I40,H40-I40,"ERROR")</f>
        <v>963212.62999999884</v>
      </c>
      <c r="M40" s="7">
        <f t="shared" ref="M40" si="506">ROUND(L40*0.465,2)</f>
        <v>447893.87</v>
      </c>
      <c r="N40" s="7">
        <f>ROUND(L40*0.3,2)-0.02</f>
        <v>288963.76999999996</v>
      </c>
      <c r="O40" s="7">
        <f t="shared" ref="O40" si="507">ROUND(L40*0.1285,2)</f>
        <v>123772.82</v>
      </c>
      <c r="P40" s="7">
        <f t="shared" ref="P40" si="508">ROUND((L40*0.07)*0.9,2)</f>
        <v>60682.400000000001</v>
      </c>
      <c r="Q40" s="7">
        <f t="shared" ref="Q40" si="509">ROUND(L40*0.01,2)</f>
        <v>9632.1299999999992</v>
      </c>
      <c r="R40" s="7">
        <f t="shared" ref="R40" si="510">ROUND((L40*0.0075)*0.9,2)</f>
        <v>6501.69</v>
      </c>
      <c r="S40" s="7">
        <f t="shared" ref="S40" si="511">ROUND((L40*0.0075)*0.9,2)</f>
        <v>6501.69</v>
      </c>
      <c r="T40" s="20">
        <f t="shared" ref="T40" si="512">ROUND(L40*0.01,2)</f>
        <v>9632.1299999999992</v>
      </c>
      <c r="U40" s="20">
        <f t="shared" ref="U40" si="513">ROUND(L40*0.01,2)</f>
        <v>9632.1299999999992</v>
      </c>
      <c r="V40" s="16">
        <f t="shared" ref="V40" si="514">E40/W40</f>
        <v>1555.5759379844942</v>
      </c>
      <c r="W40" s="8">
        <v>645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12088859.100000001</v>
      </c>
      <c r="C41" s="7">
        <v>10988613.290000001</v>
      </c>
      <c r="D41" s="7">
        <v>141658.01</v>
      </c>
      <c r="E41" s="7">
        <f t="shared" ref="E41" si="515">B41-C41-D41</f>
        <v>958587.80000000051</v>
      </c>
      <c r="F41" s="7">
        <f>ROUND(E41*0.04,2)+0.02</f>
        <v>38343.53</v>
      </c>
      <c r="G41" s="7">
        <f t="shared" ref="G41" si="516">ROUND(E41*0,2)</f>
        <v>0</v>
      </c>
      <c r="H41" s="7">
        <f t="shared" ref="H41" si="517">E41-F41-G41</f>
        <v>920244.27000000048</v>
      </c>
      <c r="I41" s="7">
        <f t="shared" ref="I41" si="518">ROUND(H41*0,2)</f>
        <v>0</v>
      </c>
      <c r="J41" s="7">
        <f t="shared" ref="J41" si="519">ROUND((I41*0.58)+((I41*0.42)*0.1),2)</f>
        <v>0</v>
      </c>
      <c r="K41" s="7">
        <f t="shared" ref="K41" si="520">ROUND((I41*0.42)*0.9,2)</f>
        <v>0</v>
      </c>
      <c r="L41" s="18">
        <f t="shared" ref="L41" si="521">IF(J41+K41=I41,H41-I41,"ERROR")</f>
        <v>920244.27000000048</v>
      </c>
      <c r="M41" s="7">
        <f t="shared" ref="M41" si="522">ROUND(L41*0.465,2)</f>
        <v>427913.59</v>
      </c>
      <c r="N41" s="7">
        <f>ROUND(L41*0.3,2)</f>
        <v>276073.28000000003</v>
      </c>
      <c r="O41" s="7">
        <f t="shared" ref="O41" si="523">ROUND(L41*0.1285,2)</f>
        <v>118251.39</v>
      </c>
      <c r="P41" s="7">
        <f t="shared" ref="P41" si="524">ROUND((L41*0.07)*0.9,2)</f>
        <v>57975.39</v>
      </c>
      <c r="Q41" s="7">
        <f t="shared" ref="Q41" si="525">ROUND(L41*0.01,2)</f>
        <v>9202.44</v>
      </c>
      <c r="R41" s="7">
        <f t="shared" ref="R41" si="526">ROUND((L41*0.0075)*0.9,2)</f>
        <v>6211.65</v>
      </c>
      <c r="S41" s="7">
        <f t="shared" ref="S41" si="527">ROUND((L41*0.0075)*0.9,2)</f>
        <v>6211.65</v>
      </c>
      <c r="T41" s="20">
        <f t="shared" ref="T41" si="528">ROUND(L41*0.01,2)</f>
        <v>9202.44</v>
      </c>
      <c r="U41" s="20">
        <f t="shared" ref="U41" si="529">ROUND(L41*0.01,2)</f>
        <v>9202.44</v>
      </c>
      <c r="V41" s="16">
        <f t="shared" ref="V41" si="530">E41/W41</f>
        <v>1497.7934375000009</v>
      </c>
      <c r="W41" s="8">
        <v>640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12674657.650000002</v>
      </c>
      <c r="C42" s="7">
        <v>11398522.579999998</v>
      </c>
      <c r="D42" s="7">
        <v>136341.98000000001</v>
      </c>
      <c r="E42" s="7">
        <f t="shared" ref="E42" si="531">B42-C42-D42</f>
        <v>1139793.090000004</v>
      </c>
      <c r="F42" s="7">
        <f>ROUND(E42*0.04,2)</f>
        <v>45591.72</v>
      </c>
      <c r="G42" s="7">
        <f t="shared" ref="G42" si="532">ROUND(E42*0,2)</f>
        <v>0</v>
      </c>
      <c r="H42" s="7">
        <f t="shared" ref="H42" si="533">E42-F42-G42</f>
        <v>1094201.3700000041</v>
      </c>
      <c r="I42" s="7">
        <f t="shared" ref="I42" si="534">ROUND(H42*0,2)</f>
        <v>0</v>
      </c>
      <c r="J42" s="7">
        <f t="shared" ref="J42" si="535">ROUND((I42*0.58)+((I42*0.42)*0.1),2)</f>
        <v>0</v>
      </c>
      <c r="K42" s="7">
        <f t="shared" ref="K42" si="536">ROUND((I42*0.42)*0.9,2)</f>
        <v>0</v>
      </c>
      <c r="L42" s="18">
        <f t="shared" ref="L42" si="537">IF(J42+K42=I42,H42-I42,"ERROR")</f>
        <v>1094201.3700000041</v>
      </c>
      <c r="M42" s="7">
        <f t="shared" ref="M42" si="538">ROUND(L42*0.465,2)</f>
        <v>508803.64</v>
      </c>
      <c r="N42" s="7">
        <f>ROUND(L42*0.3,2)</f>
        <v>328260.40999999997</v>
      </c>
      <c r="O42" s="7">
        <f t="shared" ref="O42" si="539">ROUND(L42*0.1285,2)</f>
        <v>140604.88</v>
      </c>
      <c r="P42" s="7">
        <f t="shared" ref="P42" si="540">ROUND((L42*0.07)*0.9,2)</f>
        <v>68934.69</v>
      </c>
      <c r="Q42" s="7">
        <f t="shared" ref="Q42" si="541">ROUND(L42*0.01,2)</f>
        <v>10942.01</v>
      </c>
      <c r="R42" s="7">
        <f t="shared" ref="R42" si="542">ROUND((L42*0.0075)*0.9,2)</f>
        <v>7385.86</v>
      </c>
      <c r="S42" s="7">
        <f t="shared" ref="S42" si="543">ROUND((L42*0.0075)*0.9,2)</f>
        <v>7385.86</v>
      </c>
      <c r="T42" s="20">
        <f t="shared" ref="T42" si="544">ROUND(L42*0.01,2)</f>
        <v>10942.01</v>
      </c>
      <c r="U42" s="20">
        <f t="shared" ref="U42" si="545">ROUND(L42*0.01,2)</f>
        <v>10942.01</v>
      </c>
      <c r="V42" s="16">
        <f t="shared" ref="V42" si="546">E42/W42</f>
        <v>1783.7137558685508</v>
      </c>
      <c r="W42" s="8">
        <v>639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13081530.09</v>
      </c>
      <c r="C43" s="7">
        <v>11899399.16</v>
      </c>
      <c r="D43" s="7">
        <v>147926.65</v>
      </c>
      <c r="E43" s="7">
        <f t="shared" ref="E43" si="547">B43-C43-D43</f>
        <v>1034204.2799999997</v>
      </c>
      <c r="F43" s="7">
        <f>ROUND(E43*0.04,2)+0.01</f>
        <v>41368.18</v>
      </c>
      <c r="G43" s="7">
        <f t="shared" ref="G43" si="548">ROUND(E43*0,2)</f>
        <v>0</v>
      </c>
      <c r="H43" s="7">
        <f t="shared" ref="H43" si="549">E43-F43-G43</f>
        <v>992836.09999999963</v>
      </c>
      <c r="I43" s="7">
        <f t="shared" ref="I43" si="550">ROUND(H43*0,2)</f>
        <v>0</v>
      </c>
      <c r="J43" s="7">
        <f t="shared" ref="J43" si="551">ROUND((I43*0.58)+((I43*0.42)*0.1),2)</f>
        <v>0</v>
      </c>
      <c r="K43" s="7">
        <f t="shared" ref="K43" si="552">ROUND((I43*0.42)*0.9,2)</f>
        <v>0</v>
      </c>
      <c r="L43" s="18">
        <f t="shared" ref="L43" si="553">IF(J43+K43=I43,H43-I43,"ERROR")</f>
        <v>992836.09999999963</v>
      </c>
      <c r="M43" s="7">
        <f t="shared" ref="M43" si="554">ROUND(L43*0.465,2)</f>
        <v>461668.79</v>
      </c>
      <c r="N43" s="7">
        <f>ROUND(L43*0.3,2)+0.01</f>
        <v>297850.84000000003</v>
      </c>
      <c r="O43" s="7">
        <f t="shared" ref="O43" si="555">ROUND(L43*0.1285,2)</f>
        <v>127579.44</v>
      </c>
      <c r="P43" s="7">
        <f t="shared" ref="P43" si="556">ROUND((L43*0.07)*0.9,2)</f>
        <v>62548.67</v>
      </c>
      <c r="Q43" s="7">
        <f t="shared" ref="Q43" si="557">ROUND(L43*0.01,2)</f>
        <v>9928.36</v>
      </c>
      <c r="R43" s="7">
        <f t="shared" ref="R43" si="558">ROUND((L43*0.0075)*0.9,2)</f>
        <v>6701.64</v>
      </c>
      <c r="S43" s="7">
        <f t="shared" ref="S43" si="559">ROUND((L43*0.0075)*0.9,2)</f>
        <v>6701.64</v>
      </c>
      <c r="T43" s="20">
        <f t="shared" ref="T43" si="560">ROUND(L43*0.01,2)</f>
        <v>9928.36</v>
      </c>
      <c r="U43" s="20">
        <f t="shared" ref="U43" si="561">ROUND(L43*0.01,2)</f>
        <v>9928.36</v>
      </c>
      <c r="V43" s="16">
        <f t="shared" ref="V43" si="562">E43/W43</f>
        <v>1586.2028834355824</v>
      </c>
      <c r="W43" s="8">
        <v>652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12604308.870000001</v>
      </c>
      <c r="C44" s="7">
        <v>11389400.100000001</v>
      </c>
      <c r="D44" s="7">
        <v>144326.06</v>
      </c>
      <c r="E44" s="7">
        <f t="shared" ref="E44" si="563">B44-C44-D44</f>
        <v>1070582.7099999995</v>
      </c>
      <c r="F44" s="7">
        <f>ROUND(E44*0.04,2)</f>
        <v>42823.31</v>
      </c>
      <c r="G44" s="7">
        <f t="shared" ref="G44" si="564">ROUND(E44*0,2)</f>
        <v>0</v>
      </c>
      <c r="H44" s="7">
        <f t="shared" ref="H44" si="565">E44-F44-G44</f>
        <v>1027759.3999999994</v>
      </c>
      <c r="I44" s="7">
        <f t="shared" ref="I44" si="566">ROUND(H44*0,2)</f>
        <v>0</v>
      </c>
      <c r="J44" s="7">
        <f t="shared" ref="J44" si="567">ROUND((I44*0.58)+((I44*0.42)*0.1),2)</f>
        <v>0</v>
      </c>
      <c r="K44" s="7">
        <f t="shared" ref="K44" si="568">ROUND((I44*0.42)*0.9,2)</f>
        <v>0</v>
      </c>
      <c r="L44" s="18">
        <f t="shared" ref="L44" si="569">IF(J44+K44=I44,H44-I44,"ERROR")</f>
        <v>1027759.3999999994</v>
      </c>
      <c r="M44" s="7">
        <f t="shared" ref="M44" si="570">ROUND(L44*0.465,2)</f>
        <v>477908.12</v>
      </c>
      <c r="N44" s="7">
        <f>ROUND(L44*0.3,2)+0.01</f>
        <v>308327.83</v>
      </c>
      <c r="O44" s="7">
        <f t="shared" ref="O44" si="571">ROUND(L44*0.1285,2)</f>
        <v>132067.07999999999</v>
      </c>
      <c r="P44" s="7">
        <f t="shared" ref="P44" si="572">ROUND((L44*0.07)*0.9,2)</f>
        <v>64748.84</v>
      </c>
      <c r="Q44" s="7">
        <f t="shared" ref="Q44" si="573">ROUND(L44*0.01,2)</f>
        <v>10277.59</v>
      </c>
      <c r="R44" s="7">
        <f t="shared" ref="R44" si="574">ROUND((L44*0.0075)*0.9,2)</f>
        <v>6937.38</v>
      </c>
      <c r="S44" s="7">
        <f t="shared" ref="S44" si="575">ROUND((L44*0.0075)*0.9,2)</f>
        <v>6937.38</v>
      </c>
      <c r="T44" s="20">
        <f t="shared" ref="T44" si="576">ROUND(L44*0.01,2)</f>
        <v>10277.59</v>
      </c>
      <c r="U44" s="20">
        <f t="shared" ref="U44" si="577">ROUND(L44*0.01,2)</f>
        <v>10277.59</v>
      </c>
      <c r="V44" s="16">
        <f t="shared" ref="V44" si="578">E44/W44</f>
        <v>1617.1944259818724</v>
      </c>
      <c r="W44" s="8">
        <v>662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12435575.91</v>
      </c>
      <c r="C45" s="7">
        <v>11218588.539999999</v>
      </c>
      <c r="D45" s="7">
        <v>140928.58000000002</v>
      </c>
      <c r="E45" s="7">
        <f t="shared" ref="E45" si="579">B45-C45-D45</f>
        <v>1076058.790000001</v>
      </c>
      <c r="F45" s="7">
        <f>ROUND(E45*0.04,2)</f>
        <v>43042.35</v>
      </c>
      <c r="G45" s="7">
        <f t="shared" ref="G45" si="580">ROUND(E45*0,2)</f>
        <v>0</v>
      </c>
      <c r="H45" s="7">
        <f t="shared" ref="H45" si="581">E45-F45-G45</f>
        <v>1033016.440000001</v>
      </c>
      <c r="I45" s="7">
        <f t="shared" ref="I45" si="582">ROUND(H45*0,2)</f>
        <v>0</v>
      </c>
      <c r="J45" s="7">
        <f t="shared" ref="J45" si="583">ROUND((I45*0.58)+((I45*0.42)*0.1),2)</f>
        <v>0</v>
      </c>
      <c r="K45" s="7">
        <f t="shared" ref="K45" si="584">ROUND((I45*0.42)*0.9,2)</f>
        <v>0</v>
      </c>
      <c r="L45" s="18">
        <f t="shared" ref="L45" si="585">IF(J45+K45=I45,H45-I45,"ERROR")</f>
        <v>1033016.440000001</v>
      </c>
      <c r="M45" s="7">
        <f t="shared" ref="M45" si="586">ROUND(L45*0.465,2)</f>
        <v>480352.64</v>
      </c>
      <c r="N45" s="7">
        <f>ROUND(L45*0.3,2)+0.02</f>
        <v>309904.95</v>
      </c>
      <c r="O45" s="7">
        <f t="shared" ref="O45" si="587">ROUND(L45*0.1285,2)</f>
        <v>132742.60999999999</v>
      </c>
      <c r="P45" s="7">
        <f t="shared" ref="P45" si="588">ROUND((L45*0.07)*0.9,2)</f>
        <v>65080.04</v>
      </c>
      <c r="Q45" s="7">
        <f t="shared" ref="Q45" si="589">ROUND(L45*0.01,2)</f>
        <v>10330.16</v>
      </c>
      <c r="R45" s="7">
        <f t="shared" ref="R45" si="590">ROUND((L45*0.0075)*0.9,2)</f>
        <v>6972.86</v>
      </c>
      <c r="S45" s="7">
        <f t="shared" ref="S45" si="591">ROUND((L45*0.0075)*0.9,2)</f>
        <v>6972.86</v>
      </c>
      <c r="T45" s="20">
        <f t="shared" ref="T45" si="592">ROUND(L45*0.01,2)</f>
        <v>10330.16</v>
      </c>
      <c r="U45" s="20">
        <f t="shared" ref="U45" si="593">ROUND(L45*0.01,2)</f>
        <v>10330.16</v>
      </c>
      <c r="V45" s="16">
        <f t="shared" ref="V45" si="594">E45/W45</f>
        <v>1691.916336477989</v>
      </c>
      <c r="W45" s="8">
        <v>636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12402606.939999998</v>
      </c>
      <c r="C46" s="7">
        <v>11168546.01</v>
      </c>
      <c r="D46" s="7">
        <v>147922.38</v>
      </c>
      <c r="E46" s="7">
        <f t="shared" ref="E46" si="595">B46-C46-D46</f>
        <v>1086138.549999998</v>
      </c>
      <c r="F46" s="7">
        <f>ROUND(E46*0.04,2)-0.01</f>
        <v>43445.53</v>
      </c>
      <c r="G46" s="7">
        <f t="shared" ref="G46" si="596">ROUND(E46*0,2)</f>
        <v>0</v>
      </c>
      <c r="H46" s="7">
        <f t="shared" ref="H46" si="597">E46-F46-G46</f>
        <v>1042693.0199999979</v>
      </c>
      <c r="I46" s="7">
        <f t="shared" ref="I46" si="598">ROUND(H46*0,2)</f>
        <v>0</v>
      </c>
      <c r="J46" s="7">
        <f t="shared" ref="J46" si="599">ROUND((I46*0.58)+((I46*0.42)*0.1),2)</f>
        <v>0</v>
      </c>
      <c r="K46" s="7">
        <f t="shared" ref="K46" si="600">ROUND((I46*0.42)*0.9,2)</f>
        <v>0</v>
      </c>
      <c r="L46" s="18">
        <f t="shared" ref="L46" si="601">IF(J46+K46=I46,H46-I46,"ERROR")</f>
        <v>1042693.0199999979</v>
      </c>
      <c r="M46" s="7">
        <f t="shared" ref="M46" si="602">ROUND(L46*0.465,2)</f>
        <v>484852.25</v>
      </c>
      <c r="N46" s="7">
        <f>ROUND(L46*0.3,2)</f>
        <v>312807.90999999997</v>
      </c>
      <c r="O46" s="7">
        <f t="shared" ref="O46" si="603">ROUND(L46*0.1285,2)</f>
        <v>133986.04999999999</v>
      </c>
      <c r="P46" s="7">
        <f t="shared" ref="P46" si="604">ROUND((L46*0.07)*0.9,2)</f>
        <v>65689.66</v>
      </c>
      <c r="Q46" s="7">
        <f t="shared" ref="Q46" si="605">ROUND(L46*0.01,2)</f>
        <v>10426.93</v>
      </c>
      <c r="R46" s="7">
        <f t="shared" ref="R46" si="606">ROUND((L46*0.0075)*0.9,2)</f>
        <v>7038.18</v>
      </c>
      <c r="S46" s="7">
        <f t="shared" ref="S46" si="607">ROUND((L46*0.0075)*0.9,2)</f>
        <v>7038.18</v>
      </c>
      <c r="T46" s="20">
        <f t="shared" ref="T46" si="608">ROUND(L46*0.01,2)</f>
        <v>10426.93</v>
      </c>
      <c r="U46" s="20">
        <f t="shared" ref="U46" si="609">ROUND(L46*0.01,2)</f>
        <v>10426.93</v>
      </c>
      <c r="V46" s="16">
        <f t="shared" ref="V46" si="610">E46/W46</f>
        <v>1710.4544094488156</v>
      </c>
      <c r="W46" s="8">
        <v>635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11235053.98</v>
      </c>
      <c r="C47" s="7">
        <v>10118990.199999999</v>
      </c>
      <c r="D47" s="7">
        <v>145843.25</v>
      </c>
      <c r="E47" s="7">
        <f t="shared" ref="E47" si="611">B47-C47-D47</f>
        <v>970220.53000000119</v>
      </c>
      <c r="F47" s="7">
        <f>ROUND(E47*0.04,2)</f>
        <v>38808.82</v>
      </c>
      <c r="G47" s="7">
        <f t="shared" ref="G47" si="612">ROUND(E47*0,2)</f>
        <v>0</v>
      </c>
      <c r="H47" s="7">
        <f t="shared" ref="H47" si="613">E47-F47-G47</f>
        <v>931411.71000000124</v>
      </c>
      <c r="I47" s="7">
        <f t="shared" ref="I47" si="614">ROUND(H47*0,2)</f>
        <v>0</v>
      </c>
      <c r="J47" s="7">
        <f t="shared" ref="J47" si="615">ROUND((I47*0.58)+((I47*0.42)*0.1),2)</f>
        <v>0</v>
      </c>
      <c r="K47" s="7">
        <f t="shared" ref="K47" si="616">ROUND((I47*0.42)*0.9,2)</f>
        <v>0</v>
      </c>
      <c r="L47" s="18">
        <f t="shared" ref="L47" si="617">IF(J47+K47=I47,H47-I47,"ERROR")</f>
        <v>931411.71000000124</v>
      </c>
      <c r="M47" s="7">
        <f t="shared" ref="M47" si="618">ROUND(L47*0.465,2)</f>
        <v>433106.45</v>
      </c>
      <c r="N47" s="7">
        <f>ROUND(L47*0.3,2)-0.01</f>
        <v>279423.5</v>
      </c>
      <c r="O47" s="7">
        <f t="shared" ref="O47" si="619">ROUND(L47*0.1285,2)</f>
        <v>119686.39999999999</v>
      </c>
      <c r="P47" s="7">
        <f t="shared" ref="P47" si="620">ROUND((L47*0.07)*0.9,2)</f>
        <v>58678.94</v>
      </c>
      <c r="Q47" s="7">
        <f t="shared" ref="Q47" si="621">ROUND(L47*0.01,2)</f>
        <v>9314.1200000000008</v>
      </c>
      <c r="R47" s="7">
        <f t="shared" ref="R47" si="622">ROUND((L47*0.0075)*0.9,2)</f>
        <v>6287.03</v>
      </c>
      <c r="S47" s="7">
        <f t="shared" ref="S47" si="623">ROUND((L47*0.0075)*0.9,2)</f>
        <v>6287.03</v>
      </c>
      <c r="T47" s="20">
        <f t="shared" ref="T47" si="624">ROUND(L47*0.01,2)</f>
        <v>9314.1200000000008</v>
      </c>
      <c r="U47" s="20">
        <f t="shared" ref="U47" si="625">ROUND(L47*0.01,2)</f>
        <v>9314.1200000000008</v>
      </c>
      <c r="V47" s="16">
        <f t="shared" ref="V47" si="626">E47/W47</f>
        <v>1504.2178759689941</v>
      </c>
      <c r="W47" s="8">
        <v>645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12293729.130000001</v>
      </c>
      <c r="C48" s="7">
        <v>11013718.74</v>
      </c>
      <c r="D48" s="7">
        <v>151052.19999999998</v>
      </c>
      <c r="E48" s="7">
        <f t="shared" ref="E48" si="627">B48-C48-D48</f>
        <v>1128958.1900000006</v>
      </c>
      <c r="F48" s="7">
        <f>ROUND(E48*0.04,2)</f>
        <v>45158.33</v>
      </c>
      <c r="G48" s="7">
        <f t="shared" ref="G48" si="628">ROUND(E48*0,2)</f>
        <v>0</v>
      </c>
      <c r="H48" s="7">
        <f t="shared" ref="H48" si="629">E48-F48-G48</f>
        <v>1083799.8600000006</v>
      </c>
      <c r="I48" s="7">
        <f t="shared" ref="I48" si="630">ROUND(H48*0,2)</f>
        <v>0</v>
      </c>
      <c r="J48" s="7">
        <f t="shared" ref="J48" si="631">ROUND((I48*0.58)+((I48*0.42)*0.1),2)</f>
        <v>0</v>
      </c>
      <c r="K48" s="7">
        <f t="shared" ref="K48" si="632">ROUND((I48*0.42)*0.9,2)</f>
        <v>0</v>
      </c>
      <c r="L48" s="18">
        <f t="shared" ref="L48" si="633">IF(J48+K48=I48,H48-I48,"ERROR")</f>
        <v>1083799.8600000006</v>
      </c>
      <c r="M48" s="7">
        <f t="shared" ref="M48" si="634">ROUND(L48*0.465,2)</f>
        <v>503966.93</v>
      </c>
      <c r="N48" s="7">
        <f>ROUND(L48*0.3,2)</f>
        <v>325139.96000000002</v>
      </c>
      <c r="O48" s="7">
        <f t="shared" ref="O48" si="635">ROUND(L48*0.1285,2)</f>
        <v>139268.28</v>
      </c>
      <c r="P48" s="7">
        <f t="shared" ref="P48" si="636">ROUND((L48*0.07)*0.9,2)</f>
        <v>68279.39</v>
      </c>
      <c r="Q48" s="7">
        <f t="shared" ref="Q48" si="637">ROUND(L48*0.01,2)</f>
        <v>10838</v>
      </c>
      <c r="R48" s="7">
        <f t="shared" ref="R48" si="638">ROUND((L48*0.0075)*0.9,2)</f>
        <v>7315.65</v>
      </c>
      <c r="S48" s="7">
        <f t="shared" ref="S48" si="639">ROUND((L48*0.0075)*0.9,2)</f>
        <v>7315.65</v>
      </c>
      <c r="T48" s="20">
        <f t="shared" ref="T48" si="640">ROUND(L48*0.01,2)</f>
        <v>10838</v>
      </c>
      <c r="U48" s="20">
        <f t="shared" ref="U48" si="641">ROUND(L48*0.01,2)</f>
        <v>10838</v>
      </c>
      <c r="V48" s="16">
        <f t="shared" ref="V48" si="642">E48/W48</f>
        <v>1753.0406677018643</v>
      </c>
      <c r="W48" s="8">
        <v>644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11897827.860000001</v>
      </c>
      <c r="C49" s="7">
        <v>10658087.190000001</v>
      </c>
      <c r="D49" s="7">
        <v>147451.38</v>
      </c>
      <c r="E49" s="7">
        <f t="shared" ref="E49" si="643">B49-C49-D49</f>
        <v>1092289.29</v>
      </c>
      <c r="F49" s="7">
        <f>ROUND(E49*0.04,2)</f>
        <v>43691.57</v>
      </c>
      <c r="G49" s="7">
        <f t="shared" ref="G49" si="644">ROUND(E49*0,2)</f>
        <v>0</v>
      </c>
      <c r="H49" s="7">
        <f t="shared" ref="H49" si="645">E49-F49-G49</f>
        <v>1048597.72</v>
      </c>
      <c r="I49" s="7">
        <f t="shared" ref="I49" si="646">ROUND(H49*0,2)</f>
        <v>0</v>
      </c>
      <c r="J49" s="7">
        <f t="shared" ref="J49" si="647">ROUND((I49*0.58)+((I49*0.42)*0.1),2)</f>
        <v>0</v>
      </c>
      <c r="K49" s="7">
        <f t="shared" ref="K49" si="648">ROUND((I49*0.42)*0.9,2)</f>
        <v>0</v>
      </c>
      <c r="L49" s="18">
        <f t="shared" ref="L49" si="649">IF(J49+K49=I49,H49-I49,"ERROR")</f>
        <v>1048597.72</v>
      </c>
      <c r="M49" s="7">
        <f t="shared" ref="M49" si="650">ROUND(L49*0.465,2)</f>
        <v>487597.94</v>
      </c>
      <c r="N49" s="7">
        <f>ROUND(L49*0.3,2)-0.01</f>
        <v>314579.31</v>
      </c>
      <c r="O49" s="7">
        <f t="shared" ref="O49" si="651">ROUND(L49*0.1285,2)</f>
        <v>134744.81</v>
      </c>
      <c r="P49" s="7">
        <f t="shared" ref="P49" si="652">ROUND((L49*0.07)*0.9,2)</f>
        <v>66061.66</v>
      </c>
      <c r="Q49" s="7">
        <f t="shared" ref="Q49" si="653">ROUND(L49*0.01,2)</f>
        <v>10485.98</v>
      </c>
      <c r="R49" s="7">
        <f t="shared" ref="R49" si="654">ROUND((L49*0.0075)*0.9,2)</f>
        <v>7078.03</v>
      </c>
      <c r="S49" s="7">
        <f t="shared" ref="S49" si="655">ROUND((L49*0.0075)*0.9,2)</f>
        <v>7078.03</v>
      </c>
      <c r="T49" s="20">
        <f t="shared" ref="T49" si="656">ROUND(L49*0.01,2)</f>
        <v>10485.98</v>
      </c>
      <c r="U49" s="20">
        <f t="shared" ref="U49" si="657">ROUND(L49*0.01,2)</f>
        <v>10485.98</v>
      </c>
      <c r="V49" s="16">
        <f t="shared" ref="V49" si="658">E49/W49</f>
        <v>1704.0394539781591</v>
      </c>
      <c r="W49" s="8">
        <v>641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11583293.84</v>
      </c>
      <c r="C50" s="7">
        <v>10387868.16</v>
      </c>
      <c r="D50" s="7">
        <v>142716.22999999998</v>
      </c>
      <c r="E50" s="7">
        <f t="shared" ref="E50" si="659">B50-C50-D50</f>
        <v>1052709.4499999997</v>
      </c>
      <c r="F50" s="7">
        <f>ROUND(E50*0.04,2)</f>
        <v>42108.38</v>
      </c>
      <c r="G50" s="7">
        <f t="shared" ref="G50" si="660">ROUND(E50*0,2)</f>
        <v>0</v>
      </c>
      <c r="H50" s="7">
        <f t="shared" ref="H50" si="661">E50-F50-G50</f>
        <v>1010601.0699999997</v>
      </c>
      <c r="I50" s="7">
        <f t="shared" ref="I50" si="662">ROUND(H50*0,2)</f>
        <v>0</v>
      </c>
      <c r="J50" s="7">
        <f t="shared" ref="J50" si="663">ROUND((I50*0.58)+((I50*0.42)*0.1),2)</f>
        <v>0</v>
      </c>
      <c r="K50" s="7">
        <f t="shared" ref="K50" si="664">ROUND((I50*0.42)*0.9,2)</f>
        <v>0</v>
      </c>
      <c r="L50" s="18">
        <f t="shared" ref="L50" si="665">IF(J50+K50=I50,H50-I50,"ERROR")</f>
        <v>1010601.0699999997</v>
      </c>
      <c r="M50" s="7">
        <f t="shared" ref="M50" si="666">ROUND(L50*0.465,2)</f>
        <v>469929.5</v>
      </c>
      <c r="N50" s="7">
        <f>ROUND(L50*0.3,2)-0.01</f>
        <v>303180.31</v>
      </c>
      <c r="O50" s="7">
        <f t="shared" ref="O50" si="667">ROUND(L50*0.1285,2)</f>
        <v>129862.24</v>
      </c>
      <c r="P50" s="7">
        <f t="shared" ref="P50" si="668">ROUND((L50*0.07)*0.9,2)</f>
        <v>63667.87</v>
      </c>
      <c r="Q50" s="7">
        <f t="shared" ref="Q50" si="669">ROUND(L50*0.01,2)</f>
        <v>10106.01</v>
      </c>
      <c r="R50" s="7">
        <f t="shared" ref="R50" si="670">ROUND((L50*0.0075)*0.9,2)</f>
        <v>6821.56</v>
      </c>
      <c r="S50" s="7">
        <f t="shared" ref="S50" si="671">ROUND((L50*0.0075)*0.9,2)</f>
        <v>6821.56</v>
      </c>
      <c r="T50" s="20">
        <f t="shared" ref="T50" si="672">ROUND(L50*0.01,2)</f>
        <v>10106.01</v>
      </c>
      <c r="U50" s="20">
        <f t="shared" ref="U50" si="673">ROUND(L50*0.01,2)</f>
        <v>10106.01</v>
      </c>
      <c r="V50" s="16">
        <f t="shared" ref="V50" si="674">E50/W50</f>
        <v>1684.3351199999995</v>
      </c>
      <c r="W50" s="8">
        <v>625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11578142.92</v>
      </c>
      <c r="C51" s="7">
        <v>10483607.43</v>
      </c>
      <c r="D51" s="7">
        <v>121369.45000000001</v>
      </c>
      <c r="E51" s="7">
        <f t="shared" ref="E51" si="675">B51-C51-D51</f>
        <v>973166.04000000027</v>
      </c>
      <c r="F51" s="7">
        <f>ROUND(E51*0.04,2)+0.02</f>
        <v>38926.659999999996</v>
      </c>
      <c r="G51" s="7">
        <f t="shared" ref="G51" si="676">ROUND(E51*0,2)</f>
        <v>0</v>
      </c>
      <c r="H51" s="7">
        <f t="shared" ref="H51" si="677">E51-F51-G51</f>
        <v>934239.38000000024</v>
      </c>
      <c r="I51" s="7">
        <f t="shared" ref="I51" si="678">ROUND(H51*0,2)</f>
        <v>0</v>
      </c>
      <c r="J51" s="7">
        <f t="shared" ref="J51" si="679">ROUND((I51*0.58)+((I51*0.42)*0.1),2)</f>
        <v>0</v>
      </c>
      <c r="K51" s="7">
        <f t="shared" ref="K51" si="680">ROUND((I51*0.42)*0.9,2)</f>
        <v>0</v>
      </c>
      <c r="L51" s="18">
        <f t="shared" ref="L51" si="681">IF(J51+K51=I51,H51-I51,"ERROR")</f>
        <v>934239.38000000024</v>
      </c>
      <c r="M51" s="7">
        <f t="shared" ref="M51" si="682">ROUND(L51*0.465,2)</f>
        <v>434421.31</v>
      </c>
      <c r="N51" s="7">
        <f>ROUND(L51*0.3,2)+0.01</f>
        <v>280271.82</v>
      </c>
      <c r="O51" s="7">
        <f t="shared" ref="O51" si="683">ROUND(L51*0.1285,2)</f>
        <v>120049.76</v>
      </c>
      <c r="P51" s="7">
        <f t="shared" ref="P51" si="684">ROUND((L51*0.07)*0.9,2)</f>
        <v>58857.08</v>
      </c>
      <c r="Q51" s="7">
        <f t="shared" ref="Q51" si="685">ROUND(L51*0.01,2)</f>
        <v>9342.39</v>
      </c>
      <c r="R51" s="7">
        <f t="shared" ref="R51" si="686">ROUND((L51*0.0075)*0.9,2)</f>
        <v>6306.12</v>
      </c>
      <c r="S51" s="7">
        <f t="shared" ref="S51" si="687">ROUND((L51*0.0075)*0.9,2)</f>
        <v>6306.12</v>
      </c>
      <c r="T51" s="20">
        <f t="shared" ref="T51" si="688">ROUND(L51*0.01,2)</f>
        <v>9342.39</v>
      </c>
      <c r="U51" s="20">
        <f t="shared" ref="U51" si="689">ROUND(L51*0.01,2)</f>
        <v>9342.39</v>
      </c>
      <c r="V51" s="16">
        <f t="shared" ref="V51" si="690">E51/W51</f>
        <v>1530.1352830188684</v>
      </c>
      <c r="W51" s="8">
        <v>636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12338383.299999999</v>
      </c>
      <c r="C52" s="7">
        <v>11122693.51</v>
      </c>
      <c r="D52" s="7">
        <v>135092.28</v>
      </c>
      <c r="E52" s="7">
        <f t="shared" ref="E52" si="691">B52-C52-D52</f>
        <v>1080597.5099999991</v>
      </c>
      <c r="F52" s="7">
        <v>7007.27</v>
      </c>
      <c r="G52" s="7">
        <v>36216.629999999997</v>
      </c>
      <c r="H52" s="7">
        <f t="shared" ref="H52" si="692">E52-F52-G52</f>
        <v>1037373.6099999991</v>
      </c>
      <c r="I52" s="7">
        <f t="shared" ref="I52" si="693">ROUND(H52*0,2)</f>
        <v>0</v>
      </c>
      <c r="J52" s="7">
        <f t="shared" ref="J52" si="694">ROUND((I52*0.58)+((I52*0.42)*0.1),2)</f>
        <v>0</v>
      </c>
      <c r="K52" s="7">
        <f t="shared" ref="K52" si="695">ROUND((I52*0.42)*0.9,2)</f>
        <v>0</v>
      </c>
      <c r="L52" s="18">
        <f t="shared" ref="L52" si="696">IF(J52+K52=I52,H52-I52,"ERROR")</f>
        <v>1037373.6099999991</v>
      </c>
      <c r="M52" s="7">
        <f t="shared" ref="M52" si="697">ROUND(L52*0.465,2)</f>
        <v>482378.73</v>
      </c>
      <c r="N52" s="7">
        <f>ROUND(L52*0.3,2)-0.01</f>
        <v>311212.07</v>
      </c>
      <c r="O52" s="7">
        <f t="shared" ref="O52" si="698">ROUND(L52*0.1285,2)</f>
        <v>133302.51</v>
      </c>
      <c r="P52" s="7">
        <f t="shared" ref="P52" si="699">ROUND((L52*0.07)*0.9,2)</f>
        <v>65354.54</v>
      </c>
      <c r="Q52" s="7">
        <f t="shared" ref="Q52" si="700">ROUND(L52*0.01,2)</f>
        <v>10373.74</v>
      </c>
      <c r="R52" s="7">
        <f t="shared" ref="R52" si="701">ROUND((L52*0.0075)*0.9,2)</f>
        <v>7002.27</v>
      </c>
      <c r="S52" s="7">
        <f t="shared" ref="S52" si="702">ROUND((L52*0.0075)*0.9,2)</f>
        <v>7002.27</v>
      </c>
      <c r="T52" s="20">
        <f t="shared" ref="T52" si="703">ROUND(L52*0.01,2)</f>
        <v>10373.74</v>
      </c>
      <c r="U52" s="20">
        <f t="shared" ref="U52" si="704">ROUND(L52*0.01,2)</f>
        <v>10373.74</v>
      </c>
      <c r="V52" s="16">
        <f t="shared" ref="V52" si="705">E52/W52</f>
        <v>1693.7265047021929</v>
      </c>
      <c r="W52" s="8">
        <v>638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B53" s="9"/>
      <c r="V53" s="10"/>
    </row>
    <row r="54" spans="1:96" ht="15" customHeight="1" thickBot="1" x14ac:dyDescent="0.3">
      <c r="B54" s="11">
        <f t="shared" ref="B54:U54" si="706">SUM(B6:B53)</f>
        <v>539846175.4000001</v>
      </c>
      <c r="C54" s="11">
        <f t="shared" si="706"/>
        <v>487726789.73000014</v>
      </c>
      <c r="D54" s="11">
        <f t="shared" si="706"/>
        <v>6431059.8399999999</v>
      </c>
      <c r="E54" s="11">
        <f t="shared" si="706"/>
        <v>45688325.829999998</v>
      </c>
      <c r="F54" s="11">
        <f t="shared" si="706"/>
        <v>1791316.4999999998</v>
      </c>
      <c r="G54" s="11">
        <f t="shared" si="706"/>
        <v>36216.629999999997</v>
      </c>
      <c r="H54" s="11">
        <f t="shared" si="706"/>
        <v>43860792.699999996</v>
      </c>
      <c r="I54" s="11">
        <f t="shared" si="706"/>
        <v>0</v>
      </c>
      <c r="J54" s="11">
        <f t="shared" si="706"/>
        <v>0</v>
      </c>
      <c r="K54" s="11">
        <f t="shared" si="706"/>
        <v>0</v>
      </c>
      <c r="L54" s="11">
        <f t="shared" si="706"/>
        <v>43860792.699999996</v>
      </c>
      <c r="M54" s="11">
        <f t="shared" si="706"/>
        <v>20395268.599999994</v>
      </c>
      <c r="N54" s="11">
        <f t="shared" si="706"/>
        <v>13158237.76</v>
      </c>
      <c r="O54" s="11">
        <f t="shared" si="706"/>
        <v>5636111.8500000006</v>
      </c>
      <c r="P54" s="11">
        <f t="shared" si="706"/>
        <v>2763229.97</v>
      </c>
      <c r="Q54" s="11">
        <f t="shared" si="706"/>
        <v>438607.92</v>
      </c>
      <c r="R54" s="11">
        <f t="shared" si="706"/>
        <v>296060.38000000006</v>
      </c>
      <c r="S54" s="11">
        <f t="shared" si="706"/>
        <v>296060.38000000006</v>
      </c>
      <c r="T54" s="11">
        <f t="shared" si="706"/>
        <v>668799.41999999993</v>
      </c>
      <c r="U54" s="11">
        <f t="shared" si="706"/>
        <v>208416.41999999998</v>
      </c>
      <c r="V54" s="12">
        <f>AVERAGE(V6:V53)</f>
        <v>1526.718446981534</v>
      </c>
      <c r="W54" s="13">
        <f>AVERAGE(W6:W53)</f>
        <v>636.48936170212767</v>
      </c>
    </row>
    <row r="55" spans="1:96" ht="15" customHeight="1" thickTop="1" x14ac:dyDescent="0.25"/>
    <row r="56" spans="1:96" ht="15" customHeight="1" x14ac:dyDescent="0.25">
      <c r="A56" s="1" t="s">
        <v>34</v>
      </c>
    </row>
    <row r="57" spans="1:96" ht="15" customHeight="1" x14ac:dyDescent="0.25">
      <c r="A57" s="1" t="s">
        <v>4</v>
      </c>
    </row>
  </sheetData>
  <mergeCells count="1">
    <mergeCell ref="A4:W4"/>
  </mergeCells>
  <pageMargins left="0.25" right="0.25" top="0.5" bottom="0.25" header="0" footer="0"/>
  <pageSetup paperSize="5" scale="54" orientation="landscape" r:id="rId1"/>
  <headerFooter>
    <oddHeader>&amp;CMARDI GRAS CASINO VIDEO LOTTERY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CR57"/>
  <sheetViews>
    <sheetView zoomScaleNormal="100" workbookViewId="0">
      <pane ySplit="3" topLeftCell="A26" activePane="bottomLeft" state="frozen"/>
      <selection pane="bottomLeft" activeCell="A53" sqref="A53"/>
    </sheetView>
  </sheetViews>
  <sheetFormatPr defaultRowHeight="15" customHeight="1" x14ac:dyDescent="0.25"/>
  <cols>
    <col min="1" max="1" width="11.7109375" customWidth="1"/>
    <col min="2" max="3" width="18.85546875" bestFit="1" customWidth="1"/>
    <col min="4" max="4" width="16.140625" bestFit="1" customWidth="1"/>
    <col min="5" max="5" width="17.28515625" bestFit="1" customWidth="1"/>
    <col min="6" max="6" width="14.5703125" customWidth="1"/>
    <col min="7" max="7" width="15" customWidth="1"/>
    <col min="8" max="8" width="17.7109375" customWidth="1"/>
    <col min="9" max="9" width="15.140625" hidden="1" customWidth="1"/>
    <col min="10" max="10" width="15.140625" customWidth="1"/>
    <col min="11" max="11" width="15.28515625" customWidth="1"/>
    <col min="12" max="12" width="17.140625" customWidth="1"/>
    <col min="13" max="13" width="16.140625" bestFit="1" customWidth="1"/>
    <col min="14" max="14" width="15.7109375" customWidth="1"/>
    <col min="15" max="16" width="16" customWidth="1"/>
    <col min="17" max="18" width="15.42578125" customWidth="1"/>
    <col min="19" max="19" width="15" customWidth="1"/>
    <col min="20" max="20" width="14.7109375" customWidth="1"/>
    <col min="21" max="21" width="13.85546875" customWidth="1"/>
    <col min="22" max="23" width="13.7109375" customWidth="1"/>
  </cols>
  <sheetData>
    <row r="1" spans="1:96" s="2" customFormat="1" ht="45" x14ac:dyDescent="0.25">
      <c r="A1" s="2" t="s">
        <v>2</v>
      </c>
      <c r="B1" s="2" t="s">
        <v>5</v>
      </c>
      <c r="C1" s="2" t="s">
        <v>6</v>
      </c>
      <c r="D1" s="2" t="s">
        <v>8</v>
      </c>
      <c r="E1" s="2" t="s">
        <v>9</v>
      </c>
      <c r="F1" s="2" t="s">
        <v>7</v>
      </c>
      <c r="G1" s="2" t="s">
        <v>10</v>
      </c>
      <c r="H1" s="2" t="s">
        <v>11</v>
      </c>
      <c r="I1" s="2" t="s">
        <v>3</v>
      </c>
      <c r="J1" s="2" t="s">
        <v>12</v>
      </c>
      <c r="K1" s="2" t="s">
        <v>13</v>
      </c>
      <c r="L1" s="2" t="s">
        <v>14</v>
      </c>
      <c r="M1" s="2" t="s">
        <v>1</v>
      </c>
      <c r="N1" s="2" t="s">
        <v>15</v>
      </c>
      <c r="O1" s="2" t="s">
        <v>10</v>
      </c>
      <c r="P1" s="2" t="s">
        <v>16</v>
      </c>
      <c r="Q1" s="2" t="s">
        <v>17</v>
      </c>
      <c r="R1" s="2" t="s">
        <v>18</v>
      </c>
      <c r="S1" s="2" t="s">
        <v>19</v>
      </c>
      <c r="T1" s="2" t="s">
        <v>27</v>
      </c>
      <c r="U1" s="2" t="s">
        <v>26</v>
      </c>
      <c r="V1" s="2" t="s">
        <v>20</v>
      </c>
      <c r="W1" s="2" t="s">
        <v>21</v>
      </c>
    </row>
    <row r="2" spans="1:96" s="3" customFormat="1" ht="15" customHeight="1" x14ac:dyDescent="0.25">
      <c r="A2" s="3" t="s">
        <v>35</v>
      </c>
      <c r="B2" s="4">
        <v>3196277199.8600001</v>
      </c>
      <c r="C2" s="4">
        <v>2886573246.0799999</v>
      </c>
      <c r="D2" s="4">
        <v>45684333.160000004</v>
      </c>
      <c r="E2" s="4">
        <v>264019620.62000003</v>
      </c>
      <c r="F2" s="4">
        <v>5340672.84</v>
      </c>
      <c r="G2" s="4">
        <v>5220111.959999999</v>
      </c>
      <c r="H2" s="4">
        <v>253458835.81999993</v>
      </c>
      <c r="I2" s="4">
        <v>12127174.51</v>
      </c>
      <c r="J2" s="4">
        <v>7543102.5300000012</v>
      </c>
      <c r="K2" s="4">
        <v>4584071.9799999995</v>
      </c>
      <c r="L2" s="4">
        <v>241331661.31000003</v>
      </c>
      <c r="M2" s="4">
        <v>107307716.84999998</v>
      </c>
      <c r="N2" s="4">
        <v>39656127.250000007</v>
      </c>
      <c r="O2" s="4">
        <v>72158621.510000005</v>
      </c>
      <c r="P2" s="4">
        <v>12256991.260000002</v>
      </c>
      <c r="Q2" s="4">
        <v>1867593.7600000005</v>
      </c>
      <c r="R2" s="4">
        <v>1628988.7400000002</v>
      </c>
      <c r="S2" s="4">
        <v>1628988.7400000002</v>
      </c>
      <c r="T2" s="4">
        <v>2869348.3400000008</v>
      </c>
      <c r="U2" s="4">
        <v>1957284.8600000003</v>
      </c>
      <c r="V2" s="4">
        <v>2915.8412351779348</v>
      </c>
      <c r="W2" s="8">
        <v>1681.4444444444443</v>
      </c>
      <c r="X2" s="8"/>
    </row>
    <row r="3" spans="1:96" s="3" customFormat="1" ht="15" customHeight="1" x14ac:dyDescent="0.25"/>
    <row r="4" spans="1:96" s="3" customFormat="1" ht="15" customHeight="1" x14ac:dyDescent="0.25">
      <c r="A4" s="26" t="s">
        <v>36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</row>
    <row r="5" spans="1:96" s="3" customFormat="1" ht="15" customHeight="1" x14ac:dyDescent="0.25"/>
    <row r="6" spans="1:96" ht="15" customHeight="1" x14ac:dyDescent="0.25">
      <c r="A6" s="6" t="str">
        <f>Mountaineer!A6</f>
        <v>7/6/2024 *</v>
      </c>
      <c r="B6" s="7">
        <v>62960028.079999991</v>
      </c>
      <c r="C6" s="7">
        <v>56904192.870000005</v>
      </c>
      <c r="D6" s="7">
        <v>1083022.43</v>
      </c>
      <c r="E6" s="7">
        <f t="shared" ref="E6" si="0">B6-C6-D6</f>
        <v>4972812.7799999863</v>
      </c>
      <c r="F6" s="7">
        <f>ROUND(E6*0.04,2)</f>
        <v>198912.51</v>
      </c>
      <c r="G6" s="7">
        <f t="shared" ref="G6" si="1">ROUND(E6*0,2)</f>
        <v>0</v>
      </c>
      <c r="H6" s="7">
        <f t="shared" ref="H6" si="2">E6-F6-G6</f>
        <v>4773900.2699999865</v>
      </c>
      <c r="I6" s="7">
        <f t="shared" ref="I6" si="3">ROUND(H6*0,2)</f>
        <v>0</v>
      </c>
      <c r="J6" s="7">
        <f t="shared" ref="J6" si="4">ROUND((I6*0.58)+((I6*0.42)*0.1),2)</f>
        <v>0</v>
      </c>
      <c r="K6" s="7">
        <f t="shared" ref="K6" si="5">ROUND((I6*0.42)*0.9,2)</f>
        <v>0</v>
      </c>
      <c r="L6" s="18">
        <f t="shared" ref="L6" si="6">IF(J6+K6=I6,H6-I6,"ERROR")</f>
        <v>4773900.2699999865</v>
      </c>
      <c r="M6" s="7">
        <f t="shared" ref="M6" si="7">ROUND(L6*0.465,2)</f>
        <v>2219863.63</v>
      </c>
      <c r="N6" s="7">
        <f>ROUND(L6*0.3,2)</f>
        <v>1432170.08</v>
      </c>
      <c r="O6" s="7">
        <f t="shared" ref="O6" si="8">ROUND(L6*0.1285,2)</f>
        <v>613446.18000000005</v>
      </c>
      <c r="P6" s="7">
        <f t="shared" ref="P6" si="9">ROUND((L6*0.07)*0.9,2)</f>
        <v>300755.71999999997</v>
      </c>
      <c r="Q6" s="7">
        <f t="shared" ref="Q6" si="10">ROUND(L6*0.01,2)</f>
        <v>47739</v>
      </c>
      <c r="R6" s="7">
        <f t="shared" ref="R6" si="11">ROUND((L6*0.0075)*0.9,2)</f>
        <v>32223.83</v>
      </c>
      <c r="S6" s="7">
        <f t="shared" ref="S6" si="12">ROUND((L6*0.0075)*0.9,2)</f>
        <v>32223.83</v>
      </c>
      <c r="T6" s="7">
        <f>ROUND(L6*0.02,2)-0.01</f>
        <v>95478</v>
      </c>
      <c r="U6" s="7">
        <f t="shared" ref="U6" si="13">ROUND(M6*0,2)</f>
        <v>0</v>
      </c>
      <c r="V6" s="16">
        <f t="shared" ref="V6" si="14">E6/W6</f>
        <v>2857.938379310337</v>
      </c>
      <c r="W6" s="8">
        <v>1740</v>
      </c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</row>
    <row r="7" spans="1:96" ht="15" customHeight="1" x14ac:dyDescent="0.25">
      <c r="A7" s="6">
        <f>Mountaineer!A7</f>
        <v>45486</v>
      </c>
      <c r="B7" s="7">
        <v>61338588.93</v>
      </c>
      <c r="C7" s="7">
        <v>55755623.210000001</v>
      </c>
      <c r="D7" s="7">
        <v>1043103.81</v>
      </c>
      <c r="E7" s="7">
        <f t="shared" ref="E7" si="15">B7-C7-D7</f>
        <v>4539861.9099999983</v>
      </c>
      <c r="F7" s="7">
        <f>ROUND(E7*0.04,2)</f>
        <v>181594.48</v>
      </c>
      <c r="G7" s="7">
        <f t="shared" ref="G7" si="16">ROUND(E7*0,2)</f>
        <v>0</v>
      </c>
      <c r="H7" s="7">
        <f t="shared" ref="H7" si="17">E7-F7-G7</f>
        <v>4358267.4299999978</v>
      </c>
      <c r="I7" s="7">
        <f t="shared" ref="I7" si="18">ROUND(H7*0,2)</f>
        <v>0</v>
      </c>
      <c r="J7" s="7">
        <f t="shared" ref="J7" si="19">ROUND((I7*0.58)+((I7*0.42)*0.1),2)</f>
        <v>0</v>
      </c>
      <c r="K7" s="7">
        <f t="shared" ref="K7" si="20">ROUND((I7*0.42)*0.9,2)</f>
        <v>0</v>
      </c>
      <c r="L7" s="18">
        <f t="shared" ref="L7" si="21">IF(J7+K7=I7,H7-I7,"ERROR")</f>
        <v>4358267.4299999978</v>
      </c>
      <c r="M7" s="7">
        <f t="shared" ref="M7" si="22">ROUND(L7*0.465,2)</f>
        <v>2026594.35</v>
      </c>
      <c r="N7" s="7">
        <f>ROUND(L7*0.3,2)+0.01</f>
        <v>1307480.24</v>
      </c>
      <c r="O7" s="7">
        <f t="shared" ref="O7" si="23">ROUND(L7*0.1285,2)</f>
        <v>560037.36</v>
      </c>
      <c r="P7" s="7">
        <f t="shared" ref="P7" si="24">ROUND((L7*0.07)*0.9,2)</f>
        <v>274570.84999999998</v>
      </c>
      <c r="Q7" s="7">
        <f t="shared" ref="Q7" si="25">ROUND(L7*0.01,2)</f>
        <v>43582.67</v>
      </c>
      <c r="R7" s="7">
        <f t="shared" ref="R7" si="26">ROUND((L7*0.0075)*0.9,2)</f>
        <v>29418.31</v>
      </c>
      <c r="S7" s="7">
        <f t="shared" ref="S7" si="27">ROUND((L7*0.0075)*0.9,2)</f>
        <v>29418.31</v>
      </c>
      <c r="T7" s="7">
        <f>ROUND(L7*0.02,2)-0.01</f>
        <v>87165.340000000011</v>
      </c>
      <c r="U7" s="7">
        <f t="shared" ref="U7" si="28">ROUND(M7*0,2)</f>
        <v>0</v>
      </c>
      <c r="V7" s="16">
        <f t="shared" ref="V7" si="29">E7/W7</f>
        <v>2644.0663424577742</v>
      </c>
      <c r="W7" s="8">
        <v>1717</v>
      </c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</row>
    <row r="8" spans="1:96" ht="15" customHeight="1" x14ac:dyDescent="0.25">
      <c r="A8" s="6">
        <f>Mountaineer!A8</f>
        <v>45493</v>
      </c>
      <c r="B8" s="7">
        <v>62243332.810000002</v>
      </c>
      <c r="C8" s="7">
        <v>56118029.899999999</v>
      </c>
      <c r="D8" s="7">
        <v>929611.56</v>
      </c>
      <c r="E8" s="7">
        <f t="shared" ref="E8" si="30">B8-C8-D8</f>
        <v>5195691.3500000034</v>
      </c>
      <c r="F8" s="7">
        <f>ROUND(E8*0.04,2)+0.02</f>
        <v>207827.66999999998</v>
      </c>
      <c r="G8" s="7">
        <f t="shared" ref="G8" si="31">ROUND(E8*0,2)</f>
        <v>0</v>
      </c>
      <c r="H8" s="7">
        <f t="shared" ref="H8" si="32">E8-F8-G8</f>
        <v>4987863.6800000034</v>
      </c>
      <c r="I8" s="7">
        <f t="shared" ref="I8" si="33">ROUND(H8*0,2)</f>
        <v>0</v>
      </c>
      <c r="J8" s="7">
        <f t="shared" ref="J8" si="34">ROUND((I8*0.58)+((I8*0.42)*0.1),2)</f>
        <v>0</v>
      </c>
      <c r="K8" s="7">
        <f t="shared" ref="K8" si="35">ROUND((I8*0.42)*0.9,2)</f>
        <v>0</v>
      </c>
      <c r="L8" s="18">
        <f t="shared" ref="L8" si="36">IF(J8+K8=I8,H8-I8,"ERROR")</f>
        <v>4987863.6800000034</v>
      </c>
      <c r="M8" s="7">
        <f t="shared" ref="M8" si="37">ROUND(L8*0.465,2)</f>
        <v>2319356.61</v>
      </c>
      <c r="N8" s="7">
        <f>ROUND(L8*0.3,2)</f>
        <v>1496359.1</v>
      </c>
      <c r="O8" s="7">
        <f t="shared" ref="O8" si="38">ROUND(L8*0.1285,2)</f>
        <v>640940.48</v>
      </c>
      <c r="P8" s="7">
        <f t="shared" ref="P8" si="39">ROUND((L8*0.07)*0.9,2)</f>
        <v>314235.40999999997</v>
      </c>
      <c r="Q8" s="7">
        <f t="shared" ref="Q8" si="40">ROUND(L8*0.01,2)</f>
        <v>49878.64</v>
      </c>
      <c r="R8" s="7">
        <f t="shared" ref="R8" si="41">ROUND((L8*0.0075)*0.9,2)</f>
        <v>33668.080000000002</v>
      </c>
      <c r="S8" s="7">
        <f t="shared" ref="S8" si="42">ROUND((L8*0.0075)*0.9,2)</f>
        <v>33668.080000000002</v>
      </c>
      <c r="T8" s="7">
        <f>ROUND(L8*0.02,2)+0.01</f>
        <v>99757.28</v>
      </c>
      <c r="U8" s="7">
        <f t="shared" ref="U8" si="43">ROUND(M8*0,2)</f>
        <v>0</v>
      </c>
      <c r="V8" s="16">
        <f t="shared" ref="V8" si="44">E8/W8</f>
        <v>3168.1044817073193</v>
      </c>
      <c r="W8" s="8">
        <v>1640</v>
      </c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  <c r="BP8" s="7"/>
      <c r="BQ8" s="7"/>
      <c r="BR8" s="7"/>
      <c r="BS8" s="7"/>
      <c r="BT8" s="7"/>
      <c r="BU8" s="7"/>
      <c r="BV8" s="7"/>
      <c r="BW8" s="7"/>
      <c r="BX8" s="7"/>
      <c r="BY8" s="7"/>
      <c r="BZ8" s="7"/>
      <c r="CA8" s="7"/>
      <c r="CB8" s="7"/>
      <c r="CC8" s="7"/>
      <c r="CD8" s="7"/>
      <c r="CE8" s="7"/>
      <c r="CF8" s="7"/>
      <c r="CG8" s="7"/>
      <c r="CH8" s="7"/>
      <c r="CI8" s="7"/>
      <c r="CJ8" s="7"/>
      <c r="CK8" s="7"/>
      <c r="CL8" s="7"/>
      <c r="CM8" s="7"/>
      <c r="CN8" s="7"/>
      <c r="CO8" s="7"/>
      <c r="CP8" s="7"/>
      <c r="CQ8" s="7"/>
      <c r="CR8" s="7"/>
    </row>
    <row r="9" spans="1:96" ht="15" customHeight="1" x14ac:dyDescent="0.25">
      <c r="A9" s="6">
        <f>Mountaineer!A9</f>
        <v>45500</v>
      </c>
      <c r="B9" s="7">
        <v>64814618.710000001</v>
      </c>
      <c r="C9" s="7">
        <v>58493007.869999997</v>
      </c>
      <c r="D9" s="7">
        <v>956758.75</v>
      </c>
      <c r="E9" s="7">
        <f t="shared" ref="E9" si="45">B9-C9-D9</f>
        <v>5364852.0900000036</v>
      </c>
      <c r="F9" s="7">
        <f>ROUND(E9*0.04,2)</f>
        <v>214594.08</v>
      </c>
      <c r="G9" s="7">
        <f t="shared" ref="G9" si="46">ROUND(E9*0,2)</f>
        <v>0</v>
      </c>
      <c r="H9" s="7">
        <f t="shared" ref="H9" si="47">E9-F9-G9</f>
        <v>5150258.0100000035</v>
      </c>
      <c r="I9" s="7">
        <f t="shared" ref="I9" si="48">ROUND(H9*0,2)</f>
        <v>0</v>
      </c>
      <c r="J9" s="7">
        <f t="shared" ref="J9" si="49">ROUND((I9*0.58)+((I9*0.42)*0.1),2)</f>
        <v>0</v>
      </c>
      <c r="K9" s="7">
        <f t="shared" ref="K9" si="50">ROUND((I9*0.42)*0.9,2)</f>
        <v>0</v>
      </c>
      <c r="L9" s="18">
        <f t="shared" ref="L9" si="51">IF(J9+K9=I9,H9-I9,"ERROR")</f>
        <v>5150258.0100000035</v>
      </c>
      <c r="M9" s="7">
        <f t="shared" ref="M9" si="52">ROUND(L9*0.465,2)</f>
        <v>2394869.9700000002</v>
      </c>
      <c r="N9" s="7">
        <f>ROUND(L9*0.3,2)+0.02</f>
        <v>1545077.42</v>
      </c>
      <c r="O9" s="7">
        <f t="shared" ref="O9" si="53">ROUND(L9*0.1285,2)</f>
        <v>661808.15</v>
      </c>
      <c r="P9" s="7">
        <f t="shared" ref="P9" si="54">ROUND((L9*0.07)*0.9,2)</f>
        <v>324466.25</v>
      </c>
      <c r="Q9" s="7">
        <f t="shared" ref="Q9" si="55">ROUND(L9*0.01,2)</f>
        <v>51502.58</v>
      </c>
      <c r="R9" s="7">
        <f t="shared" ref="R9" si="56">ROUND((L9*0.0075)*0.9,2)</f>
        <v>34764.239999999998</v>
      </c>
      <c r="S9" s="7">
        <f t="shared" ref="S9" si="57">ROUND((L9*0.0075)*0.9,2)</f>
        <v>34764.239999999998</v>
      </c>
      <c r="T9" s="7">
        <f>ROUND(L9*0.02,2)</f>
        <v>103005.16</v>
      </c>
      <c r="U9" s="7">
        <f t="shared" ref="U9" si="58">ROUND(M9*0,2)</f>
        <v>0</v>
      </c>
      <c r="V9" s="16">
        <f t="shared" ref="V9" si="59">E9/W9</f>
        <v>3299.4170295202975</v>
      </c>
      <c r="W9" s="8">
        <v>1626</v>
      </c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</row>
    <row r="10" spans="1:96" ht="15" customHeight="1" x14ac:dyDescent="0.25">
      <c r="A10" s="6">
        <f>Mountaineer!A10</f>
        <v>45507</v>
      </c>
      <c r="B10" s="7">
        <v>64041613.730000004</v>
      </c>
      <c r="C10" s="7">
        <v>58119241.469999999</v>
      </c>
      <c r="D10" s="7">
        <v>964699.2</v>
      </c>
      <c r="E10" s="7">
        <f t="shared" ref="E10" si="60">B10-C10-D10</f>
        <v>4957673.0600000052</v>
      </c>
      <c r="F10" s="7">
        <f>ROUND(E10*0.04,2)+0.02</f>
        <v>198306.94</v>
      </c>
      <c r="G10" s="7">
        <f t="shared" ref="G10" si="61">ROUND(E10*0,2)</f>
        <v>0</v>
      </c>
      <c r="H10" s="7">
        <f t="shared" ref="H10" si="62">E10-F10-G10</f>
        <v>4759366.1200000048</v>
      </c>
      <c r="I10" s="7">
        <f t="shared" ref="I10" si="63">ROUND(H10*0,2)</f>
        <v>0</v>
      </c>
      <c r="J10" s="7">
        <f t="shared" ref="J10" si="64">ROUND((I10*0.58)+((I10*0.42)*0.1),2)</f>
        <v>0</v>
      </c>
      <c r="K10" s="7">
        <f t="shared" ref="K10" si="65">ROUND((I10*0.42)*0.9,2)</f>
        <v>0</v>
      </c>
      <c r="L10" s="18">
        <f t="shared" ref="L10" si="66">IF(J10+K10=I10,H10-I10,"ERROR")</f>
        <v>4759366.1200000048</v>
      </c>
      <c r="M10" s="7">
        <f t="shared" ref="M10" si="67">ROUND(L10*0.465,2)</f>
        <v>2213105.25</v>
      </c>
      <c r="N10" s="7">
        <f>ROUND(L10*0.3,2)-0.01</f>
        <v>1427809.83</v>
      </c>
      <c r="O10" s="7">
        <f t="shared" ref="O10" si="68">ROUND(L10*0.1285,2)</f>
        <v>611578.55000000005</v>
      </c>
      <c r="P10" s="7">
        <f t="shared" ref="P10" si="69">ROUND((L10*0.07)*0.9,2)</f>
        <v>299840.07</v>
      </c>
      <c r="Q10" s="7">
        <f t="shared" ref="Q10" si="70">ROUND(L10*0.01,2)</f>
        <v>47593.66</v>
      </c>
      <c r="R10" s="7">
        <f t="shared" ref="R10" si="71">ROUND((L10*0.0075)*0.9,2)</f>
        <v>32125.72</v>
      </c>
      <c r="S10" s="7">
        <f t="shared" ref="S10" si="72">ROUND((L10*0.0075)*0.9,2)</f>
        <v>32125.72</v>
      </c>
      <c r="T10" s="7">
        <f>ROUND(L10*0.02,2)</f>
        <v>95187.32</v>
      </c>
      <c r="U10" s="7">
        <f t="shared" ref="U10" si="73">ROUND(M10*0,2)</f>
        <v>0</v>
      </c>
      <c r="V10" s="16">
        <f t="shared" ref="V10" si="74">E10/W10</f>
        <v>3001.0127481840227</v>
      </c>
      <c r="W10" s="8">
        <v>1652</v>
      </c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  <c r="BO10" s="7"/>
      <c r="BP10" s="7"/>
      <c r="BQ10" s="7"/>
      <c r="BR10" s="7"/>
      <c r="BS10" s="7"/>
      <c r="BT10" s="7"/>
      <c r="BU10" s="7"/>
      <c r="BV10" s="7"/>
      <c r="BW10" s="7"/>
      <c r="BX10" s="7"/>
      <c r="BY10" s="7"/>
      <c r="BZ10" s="7"/>
      <c r="CA10" s="7"/>
      <c r="CB10" s="7"/>
      <c r="CC10" s="7"/>
      <c r="CD10" s="7"/>
      <c r="CE10" s="7"/>
      <c r="CF10" s="7"/>
      <c r="CG10" s="7"/>
      <c r="CH10" s="7"/>
      <c r="CI10" s="7"/>
      <c r="CJ10" s="7"/>
      <c r="CK10" s="7"/>
      <c r="CL10" s="7"/>
      <c r="CM10" s="7"/>
      <c r="CN10" s="7"/>
      <c r="CO10" s="7"/>
      <c r="CP10" s="7"/>
      <c r="CQ10" s="7"/>
      <c r="CR10" s="7"/>
    </row>
    <row r="11" spans="1:96" ht="15" customHeight="1" x14ac:dyDescent="0.25">
      <c r="A11" s="6">
        <f>Mountaineer!A11</f>
        <v>45514</v>
      </c>
      <c r="B11" s="7">
        <v>60571232.910000004</v>
      </c>
      <c r="C11" s="7">
        <v>54902248.819999993</v>
      </c>
      <c r="D11" s="7">
        <v>922342.57</v>
      </c>
      <c r="E11" s="7">
        <f t="shared" ref="E11" si="75">B11-C11-D11</f>
        <v>4746641.5200000107</v>
      </c>
      <c r="F11" s="7">
        <f>ROUND(E11*0.04,2)+0.01</f>
        <v>189865.67</v>
      </c>
      <c r="G11" s="7">
        <f t="shared" ref="G11" si="76">ROUND(E11*0,2)</f>
        <v>0</v>
      </c>
      <c r="H11" s="7">
        <f t="shared" ref="H11" si="77">E11-F11-G11</f>
        <v>4556775.8500000108</v>
      </c>
      <c r="I11" s="7">
        <f t="shared" ref="I11" si="78">ROUND(H11*0,2)</f>
        <v>0</v>
      </c>
      <c r="J11" s="7">
        <f t="shared" ref="J11" si="79">ROUND((I11*0.58)+((I11*0.42)*0.1),2)</f>
        <v>0</v>
      </c>
      <c r="K11" s="7">
        <f t="shared" ref="K11" si="80">ROUND((I11*0.42)*0.9,2)</f>
        <v>0</v>
      </c>
      <c r="L11" s="18">
        <f t="shared" ref="L11" si="81">IF(J11+K11=I11,H11-I11,"ERROR")</f>
        <v>4556775.8500000108</v>
      </c>
      <c r="M11" s="7">
        <f t="shared" ref="M11" si="82">ROUND(L11*0.465,2)</f>
        <v>2118900.77</v>
      </c>
      <c r="N11" s="7">
        <f>ROUND(L11*0.3,2)-0.02</f>
        <v>1367032.74</v>
      </c>
      <c r="O11" s="7">
        <f t="shared" ref="O11" si="83">ROUND(L11*0.1285,2)</f>
        <v>585545.69999999995</v>
      </c>
      <c r="P11" s="7">
        <f t="shared" ref="P11" si="84">ROUND((L11*0.07)*0.9,2)</f>
        <v>287076.88</v>
      </c>
      <c r="Q11" s="7">
        <f t="shared" ref="Q11" si="85">ROUND(L11*0.01,2)</f>
        <v>45567.76</v>
      </c>
      <c r="R11" s="7">
        <f t="shared" ref="R11" si="86">ROUND((L11*0.0075)*0.9,2)</f>
        <v>30758.240000000002</v>
      </c>
      <c r="S11" s="7">
        <f t="shared" ref="S11" si="87">ROUND((L11*0.0075)*0.9,2)</f>
        <v>30758.240000000002</v>
      </c>
      <c r="T11" s="7">
        <f>ROUND(L11*0.02,2)</f>
        <v>91135.52</v>
      </c>
      <c r="U11" s="7">
        <f t="shared" ref="U11" si="88">ROUND(M11*0,2)</f>
        <v>0</v>
      </c>
      <c r="V11" s="16">
        <f t="shared" ref="V11" si="89">E11/W11</f>
        <v>2700.0236177474462</v>
      </c>
      <c r="W11" s="8">
        <v>1758</v>
      </c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</row>
    <row r="12" spans="1:96" ht="15" customHeight="1" x14ac:dyDescent="0.25">
      <c r="A12" s="6">
        <f>Mountaineer!A12</f>
        <v>45521</v>
      </c>
      <c r="B12" s="7">
        <v>62082261.82</v>
      </c>
      <c r="C12" s="7">
        <v>56071534.43</v>
      </c>
      <c r="D12" s="7">
        <v>1015709.6500000001</v>
      </c>
      <c r="E12" s="7">
        <f t="shared" ref="E12" si="90">B12-C12-D12</f>
        <v>4995017.74</v>
      </c>
      <c r="F12" s="7">
        <f>ROUND(E12*0.04,2)</f>
        <v>199800.71</v>
      </c>
      <c r="G12" s="7">
        <f t="shared" ref="G12" si="91">ROUND(E12*0,2)</f>
        <v>0</v>
      </c>
      <c r="H12" s="7">
        <f t="shared" ref="H12" si="92">E12-F12-G12</f>
        <v>4795217.03</v>
      </c>
      <c r="I12" s="7">
        <f t="shared" ref="I12" si="93">ROUND(H12*0,2)</f>
        <v>0</v>
      </c>
      <c r="J12" s="7">
        <f t="shared" ref="J12" si="94">ROUND((I12*0.58)+((I12*0.42)*0.1),2)</f>
        <v>0</v>
      </c>
      <c r="K12" s="7">
        <f t="shared" ref="K12" si="95">ROUND((I12*0.42)*0.9,2)</f>
        <v>0</v>
      </c>
      <c r="L12" s="18">
        <f t="shared" ref="L12" si="96">IF(J12+K12=I12,H12-I12,"ERROR")</f>
        <v>4795217.03</v>
      </c>
      <c r="M12" s="7">
        <f t="shared" ref="M12" si="97">ROUND(L12*0.465,2)</f>
        <v>2229775.92</v>
      </c>
      <c r="N12" s="7">
        <f>ROUND(L12*0.3,2)+0.01</f>
        <v>1438565.12</v>
      </c>
      <c r="O12" s="7">
        <f t="shared" ref="O12" si="98">ROUND(L12*0.1285,2)</f>
        <v>616185.39</v>
      </c>
      <c r="P12" s="7">
        <f t="shared" ref="P12" si="99">ROUND((L12*0.07)*0.9,2)</f>
        <v>302098.67</v>
      </c>
      <c r="Q12" s="7">
        <f t="shared" ref="Q12" si="100">ROUND(L12*0.01,2)</f>
        <v>47952.17</v>
      </c>
      <c r="R12" s="7">
        <f t="shared" ref="R12" si="101">ROUND((L12*0.0075)*0.9,2)</f>
        <v>32367.71</v>
      </c>
      <c r="S12" s="7">
        <f t="shared" ref="S12" si="102">ROUND((L12*0.0075)*0.9,2)</f>
        <v>32367.71</v>
      </c>
      <c r="T12" s="7">
        <f>ROUND(L12*0.02,2)</f>
        <v>95904.34</v>
      </c>
      <c r="U12" s="7">
        <f t="shared" ref="U12" si="103">ROUND(M12*0,2)</f>
        <v>0</v>
      </c>
      <c r="V12" s="16">
        <f t="shared" ref="V12" si="104">E12/W12</f>
        <v>2810.9272594259992</v>
      </c>
      <c r="W12" s="8">
        <v>1777</v>
      </c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</row>
    <row r="13" spans="1:96" ht="15" customHeight="1" x14ac:dyDescent="0.25">
      <c r="A13" s="6">
        <f>Mountaineer!A13</f>
        <v>45528</v>
      </c>
      <c r="B13" s="7">
        <v>59833950.269999996</v>
      </c>
      <c r="C13" s="7">
        <v>53746921.449999996</v>
      </c>
      <c r="D13" s="7">
        <v>946403.62000000011</v>
      </c>
      <c r="E13" s="7">
        <f t="shared" ref="E13" si="105">B13-C13-D13</f>
        <v>5140625.2</v>
      </c>
      <c r="F13" s="7">
        <f>ROUND(E13*0.04,2)</f>
        <v>205625.01</v>
      </c>
      <c r="G13" s="7">
        <f t="shared" ref="G13" si="106">ROUND(E13*0,2)</f>
        <v>0</v>
      </c>
      <c r="H13" s="7">
        <f t="shared" ref="H13" si="107">E13-F13-G13</f>
        <v>4935000.1900000004</v>
      </c>
      <c r="I13" s="7">
        <f t="shared" ref="I13" si="108">ROUND(H13*0,2)</f>
        <v>0</v>
      </c>
      <c r="J13" s="7">
        <f t="shared" ref="J13" si="109">ROUND((I13*0.58)+((I13*0.42)*0.1),2)</f>
        <v>0</v>
      </c>
      <c r="K13" s="7">
        <f t="shared" ref="K13" si="110">ROUND((I13*0.42)*0.9,2)</f>
        <v>0</v>
      </c>
      <c r="L13" s="18">
        <f t="shared" ref="L13" si="111">IF(J13+K13=I13,H13-I13,"ERROR")</f>
        <v>4935000.1900000004</v>
      </c>
      <c r="M13" s="7">
        <f t="shared" ref="M13" si="112">ROUND(L13*0.465,2)</f>
        <v>2294775.09</v>
      </c>
      <c r="N13" s="7">
        <f>ROUND(L13*0.3,2)+0.01</f>
        <v>1480500.07</v>
      </c>
      <c r="O13" s="7">
        <f t="shared" ref="O13" si="113">ROUND(L13*0.1285,2)</f>
        <v>634147.52</v>
      </c>
      <c r="P13" s="7">
        <f t="shared" ref="P13" si="114">ROUND((L13*0.07)*0.9,2)</f>
        <v>310905.01</v>
      </c>
      <c r="Q13" s="7">
        <f t="shared" ref="Q13" si="115">ROUND(L13*0.01,2)</f>
        <v>49350</v>
      </c>
      <c r="R13" s="7">
        <f t="shared" ref="R13" si="116">ROUND((L13*0.0075)*0.9,2)</f>
        <v>33311.25</v>
      </c>
      <c r="S13" s="7">
        <f t="shared" ref="S13" si="117">ROUND((L13*0.0075)*0.9,2)</f>
        <v>33311.25</v>
      </c>
      <c r="T13" s="7">
        <f>ROUND(L13*0.02,2)</f>
        <v>98700</v>
      </c>
      <c r="U13" s="7">
        <f t="shared" ref="U13" si="118">ROUND(M13*0,2)</f>
        <v>0</v>
      </c>
      <c r="V13" s="16">
        <f t="shared" ref="V13" si="119">E13/W13</f>
        <v>2915.8395916052186</v>
      </c>
      <c r="W13" s="8">
        <v>1763</v>
      </c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  <c r="BZ13" s="7"/>
      <c r="CA13" s="7"/>
      <c r="CB13" s="7"/>
      <c r="CC13" s="7"/>
      <c r="CD13" s="7"/>
      <c r="CE13" s="7"/>
      <c r="CF13" s="7"/>
      <c r="CG13" s="7"/>
      <c r="CH13" s="7"/>
      <c r="CI13" s="7"/>
      <c r="CJ13" s="7"/>
      <c r="CK13" s="7"/>
      <c r="CL13" s="7"/>
      <c r="CM13" s="7"/>
      <c r="CN13" s="7"/>
      <c r="CO13" s="7"/>
      <c r="CP13" s="7"/>
      <c r="CQ13" s="7"/>
      <c r="CR13" s="7"/>
    </row>
    <row r="14" spans="1:96" ht="15" customHeight="1" x14ac:dyDescent="0.25">
      <c r="A14" s="6">
        <f>Mountaineer!A14</f>
        <v>45535</v>
      </c>
      <c r="B14" s="7">
        <v>64770715.170000009</v>
      </c>
      <c r="C14" s="7">
        <v>58721125.520000003</v>
      </c>
      <c r="D14" s="7">
        <v>919271.28999999992</v>
      </c>
      <c r="E14" s="7">
        <f t="shared" ref="E14" si="120">B14-C14-D14</f>
        <v>5130318.3600000059</v>
      </c>
      <c r="F14" s="7">
        <f>ROUND(E14*0.04,2)</f>
        <v>205212.73</v>
      </c>
      <c r="G14" s="7">
        <f t="shared" ref="G14" si="121">ROUND(E14*0,2)</f>
        <v>0</v>
      </c>
      <c r="H14" s="7">
        <f t="shared" ref="H14" si="122">E14-F14-G14</f>
        <v>4925105.6300000055</v>
      </c>
      <c r="I14" s="7">
        <f t="shared" ref="I14" si="123">ROUND(H14*0,2)</f>
        <v>0</v>
      </c>
      <c r="J14" s="7">
        <f t="shared" ref="J14" si="124">ROUND((I14*0.58)+((I14*0.42)*0.1),2)</f>
        <v>0</v>
      </c>
      <c r="K14" s="7">
        <f t="shared" ref="K14" si="125">ROUND((I14*0.42)*0.9,2)</f>
        <v>0</v>
      </c>
      <c r="L14" s="18">
        <f t="shared" ref="L14" si="126">IF(J14+K14=I14,H14-I14,"ERROR")</f>
        <v>4925105.6300000055</v>
      </c>
      <c r="M14" s="7">
        <f t="shared" ref="M14" si="127">ROUND(L14*0.465,2)</f>
        <v>2290174.12</v>
      </c>
      <c r="N14" s="7">
        <f>ROUND(L14*0.3,2)</f>
        <v>1477531.69</v>
      </c>
      <c r="O14" s="7">
        <f t="shared" ref="O14" si="128">ROUND(L14*0.1285,2)</f>
        <v>632876.06999999995</v>
      </c>
      <c r="P14" s="7">
        <f t="shared" ref="P14" si="129">ROUND((L14*0.07)*0.9,2)</f>
        <v>310281.65000000002</v>
      </c>
      <c r="Q14" s="7">
        <f t="shared" ref="Q14" si="130">ROUND(L14*0.01,2)</f>
        <v>49251.06</v>
      </c>
      <c r="R14" s="7">
        <f t="shared" ref="R14" si="131">ROUND((L14*0.0075)*0.9,2)</f>
        <v>33244.46</v>
      </c>
      <c r="S14" s="7">
        <f t="shared" ref="S14" si="132">ROUND((L14*0.0075)*0.9,2)</f>
        <v>33244.46</v>
      </c>
      <c r="T14" s="7">
        <f>ROUND(L14*0.02,2)+0.01</f>
        <v>98502.12</v>
      </c>
      <c r="U14" s="7">
        <f t="shared" ref="U14" si="133">ROUND(M14*0,2)</f>
        <v>0</v>
      </c>
      <c r="V14" s="16">
        <f t="shared" ref="V14" si="134">E14/W14</f>
        <v>2882.2013258427</v>
      </c>
      <c r="W14" s="8">
        <v>1780</v>
      </c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</row>
    <row r="15" spans="1:96" ht="15" customHeight="1" x14ac:dyDescent="0.25">
      <c r="A15" s="6">
        <f>Mountaineer!A15</f>
        <v>45542</v>
      </c>
      <c r="B15" s="7">
        <v>67722168.049999997</v>
      </c>
      <c r="C15" s="7">
        <v>61088448.310000002</v>
      </c>
      <c r="D15" s="7">
        <v>1188792.03</v>
      </c>
      <c r="E15" s="7">
        <f t="shared" ref="E15" si="135">B15-C15-D15</f>
        <v>5444927.7099999944</v>
      </c>
      <c r="F15" s="7">
        <f>ROUND(E15*0.04,2)</f>
        <v>217797.11</v>
      </c>
      <c r="G15" s="7">
        <f t="shared" ref="G15" si="136">ROUND(E15*0,2)</f>
        <v>0</v>
      </c>
      <c r="H15" s="7">
        <f t="shared" ref="H15" si="137">E15-F15-G15</f>
        <v>5227130.599999994</v>
      </c>
      <c r="I15" s="7">
        <f t="shared" ref="I15" si="138">ROUND(H15*0,2)</f>
        <v>0</v>
      </c>
      <c r="J15" s="7">
        <f t="shared" ref="J15" si="139">ROUND((I15*0.58)+((I15*0.42)*0.1),2)</f>
        <v>0</v>
      </c>
      <c r="K15" s="7">
        <f t="shared" ref="K15" si="140">ROUND((I15*0.42)*0.9,2)</f>
        <v>0</v>
      </c>
      <c r="L15" s="18">
        <f t="shared" ref="L15" si="141">IF(J15+K15=I15,H15-I15,"ERROR")</f>
        <v>5227130.599999994</v>
      </c>
      <c r="M15" s="7">
        <f t="shared" ref="M15" si="142">ROUND(L15*0.465,2)</f>
        <v>2430615.73</v>
      </c>
      <c r="N15" s="7">
        <f>ROUND(L15*0.3,2)-0.01</f>
        <v>1568139.17</v>
      </c>
      <c r="O15" s="7">
        <f t="shared" ref="O15" si="143">ROUND(L15*0.1285,2)</f>
        <v>671686.28</v>
      </c>
      <c r="P15" s="7">
        <f t="shared" ref="P15" si="144">ROUND((L15*0.07)*0.9,2)</f>
        <v>329309.23</v>
      </c>
      <c r="Q15" s="7">
        <f t="shared" ref="Q15" si="145">ROUND(L15*0.01,2)</f>
        <v>52271.31</v>
      </c>
      <c r="R15" s="7">
        <f t="shared" ref="R15" si="146">ROUND((L15*0.0075)*0.9,2)</f>
        <v>35283.129999999997</v>
      </c>
      <c r="S15" s="7">
        <f t="shared" ref="S15" si="147">ROUND((L15*0.0075)*0.9,2)</f>
        <v>35283.129999999997</v>
      </c>
      <c r="T15" s="7">
        <v>75885.509999999995</v>
      </c>
      <c r="U15" s="7">
        <v>28657.11</v>
      </c>
      <c r="V15" s="16">
        <f t="shared" ref="V15" si="148">E15/W15</f>
        <v>3043.5593683622105</v>
      </c>
      <c r="W15" s="8">
        <v>1789</v>
      </c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7"/>
      <c r="BZ15" s="7"/>
      <c r="CA15" s="7"/>
      <c r="CB15" s="7"/>
      <c r="CC15" s="7"/>
      <c r="CD15" s="7"/>
      <c r="CE15" s="7"/>
      <c r="CF15" s="7"/>
      <c r="CG15" s="7"/>
      <c r="CH15" s="7"/>
      <c r="CI15" s="7"/>
      <c r="CJ15" s="7"/>
      <c r="CK15" s="7"/>
      <c r="CL15" s="7"/>
      <c r="CM15" s="7"/>
      <c r="CN15" s="7"/>
      <c r="CO15" s="7"/>
      <c r="CP15" s="7"/>
      <c r="CQ15" s="7"/>
      <c r="CR15" s="7"/>
    </row>
    <row r="16" spans="1:96" ht="15" customHeight="1" x14ac:dyDescent="0.25">
      <c r="A16" s="6">
        <f>Mountaineer!A16</f>
        <v>45549</v>
      </c>
      <c r="B16" s="7">
        <v>59027467.300000004</v>
      </c>
      <c r="C16" s="7">
        <v>53411148.120000005</v>
      </c>
      <c r="D16" s="7">
        <v>965028.7300000001</v>
      </c>
      <c r="E16" s="7">
        <f t="shared" ref="E16" si="149">B16-C16-D16</f>
        <v>4651290.4499999993</v>
      </c>
      <c r="F16" s="7">
        <f>ROUND(E16*0.04,2)-0.01</f>
        <v>186051.61</v>
      </c>
      <c r="G16" s="7">
        <f t="shared" ref="G16" si="150">ROUND(E16*0,2)</f>
        <v>0</v>
      </c>
      <c r="H16" s="7">
        <f t="shared" ref="H16" si="151">E16-F16-G16</f>
        <v>4465238.8399999989</v>
      </c>
      <c r="I16" s="7">
        <f t="shared" ref="I16" si="152">ROUND(H16*0,2)</f>
        <v>0</v>
      </c>
      <c r="J16" s="7">
        <f t="shared" ref="J16" si="153">ROUND((I16*0.58)+((I16*0.42)*0.1),2)</f>
        <v>0</v>
      </c>
      <c r="K16" s="7">
        <f t="shared" ref="K16" si="154">ROUND((I16*0.42)*0.9,2)</f>
        <v>0</v>
      </c>
      <c r="L16" s="18">
        <f t="shared" ref="L16" si="155">IF(J16+K16=I16,H16-I16,"ERROR")</f>
        <v>4465238.8399999989</v>
      </c>
      <c r="M16" s="7">
        <f t="shared" ref="M16" si="156">ROUND(L16*0.465,2)</f>
        <v>2076336.06</v>
      </c>
      <c r="N16" s="7">
        <f>ROUND(L16*0.3,2)</f>
        <v>1339571.6499999999</v>
      </c>
      <c r="O16" s="7">
        <f t="shared" ref="O16" si="157">ROUND(L16*0.1285,2)</f>
        <v>573783.18999999994</v>
      </c>
      <c r="P16" s="7">
        <f t="shared" ref="P16" si="158">ROUND((L16*0.07)*0.9,2)</f>
        <v>281310.05</v>
      </c>
      <c r="Q16" s="7">
        <f t="shared" ref="Q16" si="159">ROUND(L16*0.01,2)</f>
        <v>44652.39</v>
      </c>
      <c r="R16" s="7">
        <f t="shared" ref="R16" si="160">ROUND((L16*0.0075)*0.9,2)</f>
        <v>30140.36</v>
      </c>
      <c r="S16" s="7">
        <f t="shared" ref="S16" si="161">ROUND((L16*0.0075)*0.9,2)</f>
        <v>30140.36</v>
      </c>
      <c r="T16" s="7">
        <f t="shared" ref="T16:T21" si="162">ROUND(L16*0.02/2,2)</f>
        <v>44652.39</v>
      </c>
      <c r="U16" s="7">
        <f t="shared" ref="U16:U21" si="163">ROUND(L16*0.02/2,2)</f>
        <v>44652.39</v>
      </c>
      <c r="V16" s="16">
        <f t="shared" ref="V16" si="164">E16/W16</f>
        <v>2604.3059630459124</v>
      </c>
      <c r="W16" s="8">
        <v>1786</v>
      </c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  <c r="BN16" s="7"/>
      <c r="BO16" s="7"/>
      <c r="BP16" s="7"/>
      <c r="BQ16" s="7"/>
      <c r="BR16" s="7"/>
      <c r="BS16" s="7"/>
      <c r="BT16" s="7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</row>
    <row r="17" spans="1:96" ht="15" customHeight="1" x14ac:dyDescent="0.25">
      <c r="A17" s="6">
        <f>Mountaineer!A17</f>
        <v>45556</v>
      </c>
      <c r="B17" s="7">
        <v>58008987.880000003</v>
      </c>
      <c r="C17" s="7">
        <v>52318130.210000001</v>
      </c>
      <c r="D17" s="7">
        <v>953965.99000000011</v>
      </c>
      <c r="E17" s="7">
        <f t="shared" ref="E17" si="165">B17-C17-D17</f>
        <v>4736891.6800000016</v>
      </c>
      <c r="F17" s="7">
        <f>ROUND(E17*0.04,2)</f>
        <v>189475.67</v>
      </c>
      <c r="G17" s="7">
        <f t="shared" ref="G17" si="166">ROUND(E17*0,2)</f>
        <v>0</v>
      </c>
      <c r="H17" s="7">
        <f t="shared" ref="H17" si="167">E17-F17-G17</f>
        <v>4547416.0100000016</v>
      </c>
      <c r="I17" s="7">
        <f t="shared" ref="I17" si="168">ROUND(H17*0,2)</f>
        <v>0</v>
      </c>
      <c r="J17" s="7">
        <f t="shared" ref="J17" si="169">ROUND((I17*0.58)+((I17*0.42)*0.1),2)</f>
        <v>0</v>
      </c>
      <c r="K17" s="7">
        <f t="shared" ref="K17" si="170">ROUND((I17*0.42)*0.9,2)</f>
        <v>0</v>
      </c>
      <c r="L17" s="18">
        <f t="shared" ref="L17" si="171">IF(J17+K17=I17,H17-I17,"ERROR")</f>
        <v>4547416.0100000016</v>
      </c>
      <c r="M17" s="7">
        <f t="shared" ref="M17" si="172">ROUND(L17*0.465,2)</f>
        <v>2114548.44</v>
      </c>
      <c r="N17" s="7">
        <f>ROUND(L17*0.3,2)</f>
        <v>1364224.8</v>
      </c>
      <c r="O17" s="7">
        <f t="shared" ref="O17" si="173">ROUND(L17*0.1285,2)</f>
        <v>584342.96</v>
      </c>
      <c r="P17" s="7">
        <f t="shared" ref="P17" si="174">ROUND((L17*0.07)*0.9,2)</f>
        <v>286487.21000000002</v>
      </c>
      <c r="Q17" s="7">
        <f t="shared" ref="Q17" si="175">ROUND(L17*0.01,2)</f>
        <v>45474.16</v>
      </c>
      <c r="R17" s="7">
        <f t="shared" ref="R17" si="176">ROUND((L17*0.0075)*0.9,2)</f>
        <v>30695.06</v>
      </c>
      <c r="S17" s="7">
        <f t="shared" ref="S17" si="177">ROUND((L17*0.0075)*0.9,2)</f>
        <v>30695.06</v>
      </c>
      <c r="T17" s="7">
        <f t="shared" si="162"/>
        <v>45474.16</v>
      </c>
      <c r="U17" s="7">
        <f t="shared" si="163"/>
        <v>45474.16</v>
      </c>
      <c r="V17" s="16">
        <f t="shared" ref="V17" si="178">E17/W17</f>
        <v>2683.7913201133151</v>
      </c>
      <c r="W17" s="8">
        <v>1765</v>
      </c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7"/>
      <c r="AL17" s="7"/>
      <c r="AM17" s="7"/>
      <c r="AN17" s="7"/>
      <c r="AO17" s="7"/>
      <c r="AP17" s="7"/>
      <c r="AQ17" s="7"/>
      <c r="AR17" s="7"/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7"/>
      <c r="CN17" s="7"/>
      <c r="CO17" s="7"/>
      <c r="CP17" s="7"/>
      <c r="CQ17" s="7"/>
      <c r="CR17" s="7"/>
    </row>
    <row r="18" spans="1:96" ht="15" customHeight="1" x14ac:dyDescent="0.25">
      <c r="A18" s="6">
        <f>Mountaineer!A18</f>
        <v>45563</v>
      </c>
      <c r="B18" s="7">
        <v>62022539.130000003</v>
      </c>
      <c r="C18" s="7">
        <v>56299202.310000002</v>
      </c>
      <c r="D18" s="7">
        <v>937871.48</v>
      </c>
      <c r="E18" s="7">
        <f t="shared" ref="E18" si="179">B18-C18-D18</f>
        <v>4785465.34</v>
      </c>
      <c r="F18" s="7">
        <f>ROUND(E18*0.04,2)+0.01</f>
        <v>191418.62</v>
      </c>
      <c r="G18" s="7">
        <f t="shared" ref="G18" si="180">ROUND(E18*0,2)</f>
        <v>0</v>
      </c>
      <c r="H18" s="7">
        <f t="shared" ref="H18" si="181">E18-F18-G18</f>
        <v>4594046.72</v>
      </c>
      <c r="I18" s="7">
        <f t="shared" ref="I18" si="182">ROUND(H18*0,2)</f>
        <v>0</v>
      </c>
      <c r="J18" s="7">
        <f t="shared" ref="J18" si="183">ROUND((I18*0.58)+((I18*0.42)*0.1),2)</f>
        <v>0</v>
      </c>
      <c r="K18" s="7">
        <f t="shared" ref="K18" si="184">ROUND((I18*0.42)*0.9,2)</f>
        <v>0</v>
      </c>
      <c r="L18" s="18">
        <f t="shared" ref="L18" si="185">IF(J18+K18=I18,H18-I18,"ERROR")</f>
        <v>4594046.72</v>
      </c>
      <c r="M18" s="7">
        <f t="shared" ref="M18" si="186">ROUND(L18*0.465,2)</f>
        <v>2136231.7200000002</v>
      </c>
      <c r="N18" s="7">
        <f>ROUND(L18*0.3,2)-0.01</f>
        <v>1378214.01</v>
      </c>
      <c r="O18" s="7">
        <f t="shared" ref="O18" si="187">ROUND(L18*0.1285,2)</f>
        <v>590335</v>
      </c>
      <c r="P18" s="7">
        <f t="shared" ref="P18" si="188">ROUND((L18*0.07)*0.9,2)</f>
        <v>289424.94</v>
      </c>
      <c r="Q18" s="7">
        <f t="shared" ref="Q18" si="189">ROUND(L18*0.01,2)</f>
        <v>45940.47</v>
      </c>
      <c r="R18" s="7">
        <f t="shared" ref="R18" si="190">ROUND((L18*0.0075)*0.9,2)</f>
        <v>31009.82</v>
      </c>
      <c r="S18" s="7">
        <f t="shared" ref="S18" si="191">ROUND((L18*0.0075)*0.9,2)</f>
        <v>31009.82</v>
      </c>
      <c r="T18" s="7">
        <f t="shared" si="162"/>
        <v>45940.47</v>
      </c>
      <c r="U18" s="7">
        <f t="shared" si="163"/>
        <v>45940.47</v>
      </c>
      <c r="V18" s="16">
        <f t="shared" ref="V18" si="192">E18/W18</f>
        <v>3131.8490445026177</v>
      </c>
      <c r="W18" s="8">
        <v>1528</v>
      </c>
      <c r="X18" s="7"/>
      <c r="Y18" s="7"/>
      <c r="Z18" s="7"/>
      <c r="AA18" s="7"/>
      <c r="AB18" s="7"/>
      <c r="AC18" s="7"/>
      <c r="AD18" s="7"/>
      <c r="AE18" s="7"/>
      <c r="AF18" s="7"/>
      <c r="AG18" s="7"/>
      <c r="AH18" s="7"/>
      <c r="AI18" s="7"/>
      <c r="AJ18" s="7"/>
      <c r="AK18" s="7"/>
      <c r="AL18" s="7"/>
      <c r="AM18" s="7"/>
      <c r="AN18" s="7"/>
      <c r="AO18" s="7"/>
      <c r="AP18" s="7"/>
      <c r="AQ18" s="7"/>
      <c r="AR18" s="7"/>
      <c r="AS18" s="7"/>
      <c r="AT18" s="7"/>
      <c r="AU18" s="7"/>
      <c r="AV18" s="7"/>
      <c r="AW18" s="7"/>
      <c r="AX18" s="7"/>
      <c r="AY18" s="7"/>
      <c r="AZ18" s="7"/>
      <c r="BA18" s="7"/>
      <c r="BB18" s="7"/>
      <c r="BC18" s="7"/>
      <c r="BD18" s="7"/>
      <c r="BE18" s="7"/>
      <c r="BF18" s="7"/>
      <c r="BG18" s="7"/>
      <c r="BH18" s="7"/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</row>
    <row r="19" spans="1:96" ht="15" customHeight="1" x14ac:dyDescent="0.25">
      <c r="A19" s="6">
        <f>Mountaineer!A19</f>
        <v>45570</v>
      </c>
      <c r="B19" s="7">
        <v>60561742.429999992</v>
      </c>
      <c r="C19" s="7">
        <v>54619540.030000001</v>
      </c>
      <c r="D19" s="7">
        <v>1156106.3500000001</v>
      </c>
      <c r="E19" s="7">
        <f t="shared" ref="E19" si="193">B19-C19-D19</f>
        <v>4786096.0499999914</v>
      </c>
      <c r="F19" s="7">
        <f>ROUND(E19*0.04,2)</f>
        <v>191443.84</v>
      </c>
      <c r="G19" s="7">
        <f t="shared" ref="G19" si="194">ROUND(E19*0,2)</f>
        <v>0</v>
      </c>
      <c r="H19" s="7">
        <f t="shared" ref="H19" si="195">E19-F19-G19</f>
        <v>4594652.2099999916</v>
      </c>
      <c r="I19" s="7">
        <f t="shared" ref="I19" si="196">ROUND(H19*0,2)</f>
        <v>0</v>
      </c>
      <c r="J19" s="7">
        <f t="shared" ref="J19" si="197">ROUND((I19*0.58)+((I19*0.42)*0.1),2)</f>
        <v>0</v>
      </c>
      <c r="K19" s="7">
        <f t="shared" ref="K19" si="198">ROUND((I19*0.42)*0.9,2)</f>
        <v>0</v>
      </c>
      <c r="L19" s="18">
        <f t="shared" ref="L19" si="199">IF(J19+K19=I19,H19-I19,"ERROR")</f>
        <v>4594652.2099999916</v>
      </c>
      <c r="M19" s="7">
        <f t="shared" ref="M19" si="200">ROUND(L19*0.465,2)</f>
        <v>2136513.2799999998</v>
      </c>
      <c r="N19" s="7">
        <f>ROUND(L19*0.3,2)+0.01</f>
        <v>1378395.67</v>
      </c>
      <c r="O19" s="7">
        <f t="shared" ref="O19" si="201">ROUND(L19*0.1285,2)</f>
        <v>590412.81000000006</v>
      </c>
      <c r="P19" s="7">
        <f t="shared" ref="P19" si="202">ROUND((L19*0.07)*0.9,2)</f>
        <v>289463.09000000003</v>
      </c>
      <c r="Q19" s="7">
        <f t="shared" ref="Q19" si="203">ROUND(L19*0.01,2)</f>
        <v>45946.52</v>
      </c>
      <c r="R19" s="7">
        <f t="shared" ref="R19" si="204">ROUND((L19*0.0075)*0.9,2)</f>
        <v>31013.9</v>
      </c>
      <c r="S19" s="7">
        <f t="shared" ref="S19" si="205">ROUND((L19*0.0075)*0.9,2)</f>
        <v>31013.9</v>
      </c>
      <c r="T19" s="7">
        <f t="shared" si="162"/>
        <v>45946.52</v>
      </c>
      <c r="U19" s="7">
        <f t="shared" si="163"/>
        <v>45946.52</v>
      </c>
      <c r="V19" s="16">
        <f t="shared" ref="V19" si="206">E19/W19</f>
        <v>3079.8558880308824</v>
      </c>
      <c r="W19" s="8">
        <v>1554</v>
      </c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7"/>
      <c r="BZ19" s="7"/>
      <c r="CA19" s="7"/>
      <c r="CB19" s="7"/>
      <c r="CC19" s="7"/>
      <c r="CD19" s="7"/>
      <c r="CE19" s="7"/>
      <c r="CF19" s="7"/>
      <c r="CG19" s="7"/>
      <c r="CH19" s="7"/>
      <c r="CI19" s="7"/>
      <c r="CJ19" s="7"/>
      <c r="CK19" s="7"/>
      <c r="CL19" s="7"/>
      <c r="CM19" s="7"/>
      <c r="CN19" s="7"/>
      <c r="CO19" s="7"/>
      <c r="CP19" s="7"/>
      <c r="CQ19" s="7"/>
      <c r="CR19" s="7"/>
    </row>
    <row r="20" spans="1:96" ht="15" customHeight="1" x14ac:dyDescent="0.25">
      <c r="A20" s="6">
        <f>Mountaineer!A20</f>
        <v>45577</v>
      </c>
      <c r="B20" s="7">
        <v>59388685.170000002</v>
      </c>
      <c r="C20" s="7">
        <v>53683269.359999999</v>
      </c>
      <c r="D20" s="7">
        <v>961010.23</v>
      </c>
      <c r="E20" s="7">
        <f t="shared" ref="E20" si="207">B20-C20-D20</f>
        <v>4744405.5800000019</v>
      </c>
      <c r="F20" s="7">
        <f>ROUND(E20*0.04,2)</f>
        <v>189776.22</v>
      </c>
      <c r="G20" s="7">
        <f t="shared" ref="G20" si="208">ROUND(E20*0,2)</f>
        <v>0</v>
      </c>
      <c r="H20" s="7">
        <f t="shared" ref="H20" si="209">E20-F20-G20</f>
        <v>4554629.3600000022</v>
      </c>
      <c r="I20" s="7">
        <f t="shared" ref="I20" si="210">ROUND(H20*0,2)</f>
        <v>0</v>
      </c>
      <c r="J20" s="7">
        <f t="shared" ref="J20" si="211">ROUND((I20*0.58)+((I20*0.42)*0.1),2)</f>
        <v>0</v>
      </c>
      <c r="K20" s="7">
        <f t="shared" ref="K20" si="212">ROUND((I20*0.42)*0.9,2)</f>
        <v>0</v>
      </c>
      <c r="L20" s="18">
        <f t="shared" ref="L20" si="213">IF(J20+K20=I20,H20-I20,"ERROR")</f>
        <v>4554629.3600000022</v>
      </c>
      <c r="M20" s="7">
        <f t="shared" ref="M20" si="214">ROUND(L20*0.465,2)</f>
        <v>2117902.65</v>
      </c>
      <c r="N20" s="7">
        <f>ROUND(L20*0.3,2)+0.01</f>
        <v>1366388.82</v>
      </c>
      <c r="O20" s="7">
        <f t="shared" ref="O20" si="215">ROUND(L20*0.1285,2)</f>
        <v>585269.87</v>
      </c>
      <c r="P20" s="7">
        <f t="shared" ref="P20" si="216">ROUND((L20*0.07)*0.9,2)</f>
        <v>286941.65000000002</v>
      </c>
      <c r="Q20" s="7">
        <f t="shared" ref="Q20" si="217">ROUND(L20*0.01,2)</f>
        <v>45546.29</v>
      </c>
      <c r="R20" s="7">
        <f t="shared" ref="R20" si="218">ROUND((L20*0.0075)*0.9,2)</f>
        <v>30743.75</v>
      </c>
      <c r="S20" s="7">
        <f t="shared" ref="S20" si="219">ROUND((L20*0.0075)*0.9,2)</f>
        <v>30743.75</v>
      </c>
      <c r="T20" s="7">
        <f t="shared" si="162"/>
        <v>45546.29</v>
      </c>
      <c r="U20" s="7">
        <f t="shared" si="163"/>
        <v>45546.29</v>
      </c>
      <c r="V20" s="16">
        <f t="shared" ref="V20" si="220">E20/W20</f>
        <v>2846.0741331733666</v>
      </c>
      <c r="W20" s="8">
        <v>1667</v>
      </c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</row>
    <row r="21" spans="1:96" ht="15" customHeight="1" x14ac:dyDescent="0.25">
      <c r="A21" s="6">
        <f>Mountaineer!A21</f>
        <v>45584</v>
      </c>
      <c r="B21" s="7">
        <v>64624976.650000006</v>
      </c>
      <c r="C21" s="7">
        <v>58521878.800000004</v>
      </c>
      <c r="D21" s="7">
        <v>1139114.99</v>
      </c>
      <c r="E21" s="7">
        <f t="shared" ref="E21" si="221">B21-C21-D21</f>
        <v>4963982.8600000013</v>
      </c>
      <c r="F21" s="7">
        <f>ROUND(E21*0.04,2)-0.01</f>
        <v>198559.3</v>
      </c>
      <c r="G21" s="7">
        <f t="shared" ref="G21" si="222">ROUND(E21*0,2)</f>
        <v>0</v>
      </c>
      <c r="H21" s="7">
        <f t="shared" ref="H21" si="223">E21-F21-G21</f>
        <v>4765423.5600000015</v>
      </c>
      <c r="I21" s="7">
        <f t="shared" ref="I21" si="224">ROUND(H21*0,2)</f>
        <v>0</v>
      </c>
      <c r="J21" s="7">
        <f t="shared" ref="J21" si="225">ROUND((I21*0.58)+((I21*0.42)*0.1),2)</f>
        <v>0</v>
      </c>
      <c r="K21" s="7">
        <f t="shared" ref="K21" si="226">ROUND((I21*0.42)*0.9,2)</f>
        <v>0</v>
      </c>
      <c r="L21" s="18">
        <f t="shared" ref="L21" si="227">IF(J21+K21=I21,H21-I21,"ERROR")</f>
        <v>4765423.5600000015</v>
      </c>
      <c r="M21" s="7">
        <f t="shared" ref="M21" si="228">ROUND(L21*0.465,2)</f>
        <v>2215921.96</v>
      </c>
      <c r="N21" s="7">
        <f>ROUND(L21*0.3,2)-0.02</f>
        <v>1429627.05</v>
      </c>
      <c r="O21" s="7">
        <f t="shared" ref="O21" si="229">ROUND(L21*0.1285,2)</f>
        <v>612356.93000000005</v>
      </c>
      <c r="P21" s="7">
        <f t="shared" ref="P21" si="230">ROUND((L21*0.07)*0.9,2)</f>
        <v>300221.68</v>
      </c>
      <c r="Q21" s="7">
        <f t="shared" ref="Q21" si="231">ROUND(L21*0.01,2)</f>
        <v>47654.239999999998</v>
      </c>
      <c r="R21" s="7">
        <f t="shared" ref="R21" si="232">ROUND((L21*0.0075)*0.9,2)</f>
        <v>32166.61</v>
      </c>
      <c r="S21" s="7">
        <f t="shared" ref="S21" si="233">ROUND((L21*0.0075)*0.9,2)</f>
        <v>32166.61</v>
      </c>
      <c r="T21" s="7">
        <f t="shared" si="162"/>
        <v>47654.239999999998</v>
      </c>
      <c r="U21" s="7">
        <f t="shared" si="163"/>
        <v>47654.239999999998</v>
      </c>
      <c r="V21" s="16">
        <f t="shared" ref="V21" si="234">E21/W21</f>
        <v>2869.354254335261</v>
      </c>
      <c r="W21" s="8">
        <v>1730</v>
      </c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  <c r="BZ21" s="7"/>
      <c r="CA21" s="7"/>
      <c r="CB21" s="7"/>
      <c r="CC21" s="7"/>
      <c r="CD21" s="7"/>
      <c r="CE21" s="7"/>
      <c r="CF21" s="7"/>
      <c r="CG21" s="7"/>
      <c r="CH21" s="7"/>
      <c r="CI21" s="7"/>
      <c r="CJ21" s="7"/>
      <c r="CK21" s="7"/>
      <c r="CL21" s="7"/>
      <c r="CM21" s="7"/>
      <c r="CN21" s="7"/>
      <c r="CO21" s="7"/>
      <c r="CP21" s="7"/>
      <c r="CQ21" s="7"/>
      <c r="CR21" s="7"/>
    </row>
    <row r="22" spans="1:96" ht="15" customHeight="1" x14ac:dyDescent="0.25">
      <c r="A22" s="6">
        <f>Mountaineer!A22</f>
        <v>45591</v>
      </c>
      <c r="B22" s="7">
        <v>62665464.889999993</v>
      </c>
      <c r="C22" s="7">
        <v>56384318.649999999</v>
      </c>
      <c r="D22" s="7">
        <v>1021263.32</v>
      </c>
      <c r="E22" s="7">
        <f t="shared" ref="E22" si="235">B22-C22-D22</f>
        <v>5259882.9199999943</v>
      </c>
      <c r="F22" s="7">
        <f>ROUND(E22*0.04,2)-0.01</f>
        <v>210395.31</v>
      </c>
      <c r="G22" s="7">
        <f t="shared" ref="G22" si="236">ROUND(E22*0,2)</f>
        <v>0</v>
      </c>
      <c r="H22" s="7">
        <f t="shared" ref="H22" si="237">E22-F22-G22</f>
        <v>5049487.6099999947</v>
      </c>
      <c r="I22" s="7">
        <f t="shared" ref="I22" si="238">ROUND(H22*0,2)</f>
        <v>0</v>
      </c>
      <c r="J22" s="7">
        <f t="shared" ref="J22" si="239">ROUND((I22*0.58)+((I22*0.42)*0.1),2)</f>
        <v>0</v>
      </c>
      <c r="K22" s="7">
        <f t="shared" ref="K22" si="240">ROUND((I22*0.42)*0.9,2)</f>
        <v>0</v>
      </c>
      <c r="L22" s="18">
        <f t="shared" ref="L22" si="241">IF(J22+K22=I22,H22-I22,"ERROR")</f>
        <v>5049487.6099999947</v>
      </c>
      <c r="M22" s="7">
        <f t="shared" ref="M22" si="242">ROUND(L22*0.465,2)</f>
        <v>2348011.7400000002</v>
      </c>
      <c r="N22" s="7">
        <f>ROUND(L22*0.3,2)-0.01</f>
        <v>1514846.27</v>
      </c>
      <c r="O22" s="7">
        <f t="shared" ref="O22" si="243">ROUND(L22*0.1285,2)</f>
        <v>648859.16</v>
      </c>
      <c r="P22" s="7">
        <f t="shared" ref="P22" si="244">ROUND((L22*0.07)*0.9,2)</f>
        <v>318117.71999999997</v>
      </c>
      <c r="Q22" s="7">
        <f t="shared" ref="Q22" si="245">ROUND(L22*0.01,2)</f>
        <v>50494.879999999997</v>
      </c>
      <c r="R22" s="7">
        <f t="shared" ref="R22" si="246">ROUND((L22*0.0075)*0.9,2)</f>
        <v>34084.04</v>
      </c>
      <c r="S22" s="7">
        <f t="shared" ref="S22" si="247">ROUND((L22*0.0075)*0.9,2)</f>
        <v>34084.04</v>
      </c>
      <c r="T22" s="7">
        <f t="shared" ref="T22" si="248">ROUND(L22*0.02/2,2)</f>
        <v>50494.879999999997</v>
      </c>
      <c r="U22" s="7">
        <f t="shared" ref="U22" si="249">ROUND(L22*0.02/2,2)</f>
        <v>50494.879999999997</v>
      </c>
      <c r="V22" s="16">
        <f t="shared" ref="V22" si="250">E22/W22</f>
        <v>3042.1532215153234</v>
      </c>
      <c r="W22" s="8">
        <v>1729</v>
      </c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7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7"/>
      <c r="BZ22" s="7"/>
      <c r="CA22" s="7"/>
      <c r="CB22" s="7"/>
      <c r="CC22" s="7"/>
      <c r="CD22" s="7"/>
      <c r="CE22" s="7"/>
      <c r="CF22" s="7"/>
      <c r="CG22" s="7"/>
      <c r="CH22" s="7"/>
      <c r="CI22" s="7"/>
      <c r="CJ22" s="7"/>
      <c r="CK22" s="7"/>
      <c r="CL22" s="7"/>
      <c r="CM22" s="7"/>
      <c r="CN22" s="7"/>
      <c r="CO22" s="7"/>
      <c r="CP22" s="7"/>
      <c r="CQ22" s="7"/>
      <c r="CR22" s="7"/>
    </row>
    <row r="23" spans="1:96" ht="15" customHeight="1" x14ac:dyDescent="0.25">
      <c r="A23" s="6">
        <f>Mountaineer!A23</f>
        <v>45598</v>
      </c>
      <c r="B23" s="7">
        <v>64241713.490000002</v>
      </c>
      <c r="C23" s="7">
        <v>57796243.309999995</v>
      </c>
      <c r="D23" s="7">
        <v>1077758.23</v>
      </c>
      <c r="E23" s="7">
        <f t="shared" ref="E23" si="251">B23-C23-D23</f>
        <v>5367711.9500000067</v>
      </c>
      <c r="F23" s="7">
        <f>ROUND(E23*0.04,2)</f>
        <v>214708.48000000001</v>
      </c>
      <c r="G23" s="7">
        <f t="shared" ref="G23" si="252">ROUND(E23*0,2)</f>
        <v>0</v>
      </c>
      <c r="H23" s="7">
        <f t="shared" ref="H23" si="253">E23-F23-G23</f>
        <v>5153003.4700000063</v>
      </c>
      <c r="I23" s="7">
        <f t="shared" ref="I23" si="254">ROUND(H23*0,2)</f>
        <v>0</v>
      </c>
      <c r="J23" s="7">
        <f t="shared" ref="J23" si="255">ROUND((I23*0.58)+((I23*0.42)*0.1),2)</f>
        <v>0</v>
      </c>
      <c r="K23" s="7">
        <f t="shared" ref="K23" si="256">ROUND((I23*0.42)*0.9,2)</f>
        <v>0</v>
      </c>
      <c r="L23" s="18">
        <f t="shared" ref="L23" si="257">IF(J23+K23=I23,H23-I23,"ERROR")</f>
        <v>5153003.4700000063</v>
      </c>
      <c r="M23" s="7">
        <f t="shared" ref="M23" si="258">ROUND(L23*0.465,2)</f>
        <v>2396146.61</v>
      </c>
      <c r="N23" s="7">
        <f>ROUND(L23*0.3,2)+0.02</f>
        <v>1545901.06</v>
      </c>
      <c r="O23" s="7">
        <f t="shared" ref="O23" si="259">ROUND(L23*0.1285,2)</f>
        <v>662160.94999999995</v>
      </c>
      <c r="P23" s="7">
        <f t="shared" ref="P23" si="260">ROUND((L23*0.07)*0.9,2)</f>
        <v>324639.21999999997</v>
      </c>
      <c r="Q23" s="7">
        <f t="shared" ref="Q23" si="261">ROUND(L23*0.01,2)</f>
        <v>51530.03</v>
      </c>
      <c r="R23" s="7">
        <f t="shared" ref="R23" si="262">ROUND((L23*0.0075)*0.9,2)</f>
        <v>34782.769999999997</v>
      </c>
      <c r="S23" s="7">
        <f t="shared" ref="S23" si="263">ROUND((L23*0.0075)*0.9,2)</f>
        <v>34782.769999999997</v>
      </c>
      <c r="T23" s="7">
        <f t="shared" ref="T23" si="264">ROUND(L23*0.02/2,2)</f>
        <v>51530.03</v>
      </c>
      <c r="U23" s="7">
        <f t="shared" ref="U23" si="265">ROUND(L23*0.02/2,2)</f>
        <v>51530.03</v>
      </c>
      <c r="V23" s="16">
        <f t="shared" ref="V23" si="266">E23/W23</f>
        <v>3117.1381823461129</v>
      </c>
      <c r="W23" s="8">
        <v>1722</v>
      </c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</row>
    <row r="24" spans="1:96" ht="15" customHeight="1" x14ac:dyDescent="0.25">
      <c r="A24" s="6">
        <f>Mountaineer!A24</f>
        <v>45605</v>
      </c>
      <c r="B24" s="7">
        <v>58913344.920000002</v>
      </c>
      <c r="C24" s="7">
        <v>53089559.829999998</v>
      </c>
      <c r="D24" s="7">
        <v>898225.32000000007</v>
      </c>
      <c r="E24" s="7">
        <f t="shared" ref="E24" si="267">B24-C24-D24</f>
        <v>4925559.7700000033</v>
      </c>
      <c r="F24" s="7">
        <f>ROUND(E24*0.04,2)+0.01</f>
        <v>197022.40000000002</v>
      </c>
      <c r="G24" s="7">
        <f t="shared" ref="G24" si="268">ROUND(E24*0,2)</f>
        <v>0</v>
      </c>
      <c r="H24" s="7">
        <f t="shared" ref="H24" si="269">E24-F24-G24</f>
        <v>4728537.3700000029</v>
      </c>
      <c r="I24" s="7">
        <f t="shared" ref="I24" si="270">ROUND(H24*0,2)</f>
        <v>0</v>
      </c>
      <c r="J24" s="7">
        <f t="shared" ref="J24" si="271">ROUND((I24*0.58)+((I24*0.42)*0.1),2)</f>
        <v>0</v>
      </c>
      <c r="K24" s="7">
        <f t="shared" ref="K24" si="272">ROUND((I24*0.42)*0.9,2)</f>
        <v>0</v>
      </c>
      <c r="L24" s="18">
        <f t="shared" ref="L24" si="273">IF(J24+K24=I24,H24-I24,"ERROR")</f>
        <v>4728537.3700000029</v>
      </c>
      <c r="M24" s="7">
        <f t="shared" ref="M24" si="274">ROUND(L24*0.465,2)</f>
        <v>2198769.88</v>
      </c>
      <c r="N24" s="7">
        <f>ROUND(L24*0.3,2)+0.01</f>
        <v>1418561.22</v>
      </c>
      <c r="O24" s="7">
        <f t="shared" ref="O24" si="275">ROUND(L24*0.1285,2)</f>
        <v>607617.05000000005</v>
      </c>
      <c r="P24" s="7">
        <f t="shared" ref="P24" si="276">ROUND((L24*0.07)*0.9,2)</f>
        <v>297897.84999999998</v>
      </c>
      <c r="Q24" s="7">
        <f t="shared" ref="Q24" si="277">ROUND(L24*0.01,2)</f>
        <v>47285.37</v>
      </c>
      <c r="R24" s="7">
        <f t="shared" ref="R24" si="278">ROUND((L24*0.0075)*0.9,2)</f>
        <v>31917.63</v>
      </c>
      <c r="S24" s="7">
        <f t="shared" ref="S24" si="279">ROUND((L24*0.0075)*0.9,2)</f>
        <v>31917.63</v>
      </c>
      <c r="T24" s="7">
        <f t="shared" ref="T24" si="280">ROUND(L24*0.02/2,2)</f>
        <v>47285.37</v>
      </c>
      <c r="U24" s="7">
        <f t="shared" ref="U24" si="281">ROUND(L24*0.02/2,2)</f>
        <v>47285.37</v>
      </c>
      <c r="V24" s="16">
        <f t="shared" ref="V24" si="282">E24/W24</f>
        <v>2838.9393487031721</v>
      </c>
      <c r="W24" s="8">
        <v>1735</v>
      </c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</row>
    <row r="25" spans="1:96" ht="15" customHeight="1" x14ac:dyDescent="0.25">
      <c r="A25" s="6">
        <f>Mountaineer!A25</f>
        <v>45612</v>
      </c>
      <c r="B25" s="7">
        <v>60568549.829999998</v>
      </c>
      <c r="C25" s="7">
        <v>54827942.890000001</v>
      </c>
      <c r="D25" s="7">
        <v>959669.40999999992</v>
      </c>
      <c r="E25" s="7">
        <f t="shared" ref="E25" si="283">B25-C25-D25</f>
        <v>4780937.5299999975</v>
      </c>
      <c r="F25" s="7">
        <f>ROUND(E25*0.04,2)+0.01</f>
        <v>191237.51</v>
      </c>
      <c r="G25" s="7">
        <f t="shared" ref="G25" si="284">ROUND(E25*0,2)</f>
        <v>0</v>
      </c>
      <c r="H25" s="7">
        <f t="shared" ref="H25" si="285">E25-F25-G25</f>
        <v>4589700.0199999977</v>
      </c>
      <c r="I25" s="7">
        <f t="shared" ref="I25" si="286">ROUND(H25*0,2)</f>
        <v>0</v>
      </c>
      <c r="J25" s="7">
        <f t="shared" ref="J25" si="287">ROUND((I25*0.58)+((I25*0.42)*0.1),2)</f>
        <v>0</v>
      </c>
      <c r="K25" s="7">
        <f t="shared" ref="K25" si="288">ROUND((I25*0.42)*0.9,2)</f>
        <v>0</v>
      </c>
      <c r="L25" s="18">
        <f t="shared" ref="L25" si="289">IF(J25+K25=I25,H25-I25,"ERROR")</f>
        <v>4589700.0199999977</v>
      </c>
      <c r="M25" s="7">
        <f t="shared" ref="M25" si="290">ROUND(L25*0.465,2)</f>
        <v>2134210.5099999998</v>
      </c>
      <c r="N25" s="7">
        <f>ROUND(L25*0.3,2)-0.01</f>
        <v>1376910</v>
      </c>
      <c r="O25" s="7">
        <f t="shared" ref="O25" si="291">ROUND(L25*0.1285,2)</f>
        <v>589776.44999999995</v>
      </c>
      <c r="P25" s="7">
        <f t="shared" ref="P25" si="292">ROUND((L25*0.07)*0.9,2)</f>
        <v>289151.09999999998</v>
      </c>
      <c r="Q25" s="7">
        <f t="shared" ref="Q25" si="293">ROUND(L25*0.01,2)</f>
        <v>45897</v>
      </c>
      <c r="R25" s="7">
        <f t="shared" ref="R25" si="294">ROUND((L25*0.0075)*0.9,2)</f>
        <v>30980.48</v>
      </c>
      <c r="S25" s="7">
        <f t="shared" ref="S25" si="295">ROUND((L25*0.0075)*0.9,2)</f>
        <v>30980.48</v>
      </c>
      <c r="T25" s="7">
        <f t="shared" ref="T25" si="296">ROUND(L25*0.02/2,2)</f>
        <v>45897</v>
      </c>
      <c r="U25" s="7">
        <f t="shared" ref="U25" si="297">ROUND(L25*0.02/2,2)</f>
        <v>45897</v>
      </c>
      <c r="V25" s="16">
        <f t="shared" ref="V25" si="298">E25/W25</f>
        <v>2722.6295728929372</v>
      </c>
      <c r="W25" s="8">
        <v>1756</v>
      </c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  <c r="BZ25" s="7"/>
      <c r="CA25" s="7"/>
      <c r="CB25" s="7"/>
      <c r="CC25" s="7"/>
      <c r="CD25" s="7"/>
      <c r="CE25" s="7"/>
      <c r="CF25" s="7"/>
      <c r="CG25" s="7"/>
      <c r="CH25" s="7"/>
      <c r="CI25" s="7"/>
      <c r="CJ25" s="7"/>
      <c r="CK25" s="7"/>
      <c r="CL25" s="7"/>
      <c r="CM25" s="7"/>
      <c r="CN25" s="7"/>
      <c r="CO25" s="7"/>
      <c r="CP25" s="7"/>
      <c r="CQ25" s="7"/>
      <c r="CR25" s="7"/>
    </row>
    <row r="26" spans="1:96" ht="15" customHeight="1" x14ac:dyDescent="0.25">
      <c r="A26" s="6">
        <f>Mountaineer!A26</f>
        <v>45619</v>
      </c>
      <c r="B26" s="7">
        <v>54784457.799999997</v>
      </c>
      <c r="C26" s="7">
        <v>49449257.980000004</v>
      </c>
      <c r="D26" s="7">
        <v>934171.64</v>
      </c>
      <c r="E26" s="7">
        <f t="shared" ref="E26" si="299">B26-C26-D26</f>
        <v>4401028.1799999932</v>
      </c>
      <c r="F26" s="7">
        <f>ROUND(E26*0.04,2)+0.01</f>
        <v>176041.14</v>
      </c>
      <c r="G26" s="7">
        <f t="shared" ref="G26" si="300">ROUND(E26*0,2)</f>
        <v>0</v>
      </c>
      <c r="H26" s="7">
        <f t="shared" ref="H26" si="301">E26-F26-G26</f>
        <v>4224987.0399999935</v>
      </c>
      <c r="I26" s="7">
        <f t="shared" ref="I26" si="302">ROUND(H26*0,2)</f>
        <v>0</v>
      </c>
      <c r="J26" s="7">
        <f t="shared" ref="J26" si="303">ROUND((I26*0.58)+((I26*0.42)*0.1),2)</f>
        <v>0</v>
      </c>
      <c r="K26" s="7">
        <f t="shared" ref="K26" si="304">ROUND((I26*0.42)*0.9,2)</f>
        <v>0</v>
      </c>
      <c r="L26" s="18">
        <f t="shared" ref="L26" si="305">IF(J26+K26=I26,H26-I26,"ERROR")</f>
        <v>4224987.0399999935</v>
      </c>
      <c r="M26" s="7">
        <f t="shared" ref="M26" si="306">ROUND(L26*0.465,2)</f>
        <v>1964618.97</v>
      </c>
      <c r="N26" s="7">
        <f>ROUND(L26*0.3,2)+0.02</f>
        <v>1267496.1300000001</v>
      </c>
      <c r="O26" s="7">
        <f t="shared" ref="O26" si="307">ROUND(L26*0.1285,2)</f>
        <v>542910.82999999996</v>
      </c>
      <c r="P26" s="7">
        <f t="shared" ref="P26" si="308">ROUND((L26*0.07)*0.9,2)</f>
        <v>266174.18</v>
      </c>
      <c r="Q26" s="7">
        <f t="shared" ref="Q26" si="309">ROUND(L26*0.01,2)</f>
        <v>42249.87</v>
      </c>
      <c r="R26" s="7">
        <f t="shared" ref="R26" si="310">ROUND((L26*0.0075)*0.9,2)</f>
        <v>28518.66</v>
      </c>
      <c r="S26" s="7">
        <f t="shared" ref="S26" si="311">ROUND((L26*0.0075)*0.9,2)</f>
        <v>28518.66</v>
      </c>
      <c r="T26" s="7">
        <f t="shared" ref="T26" si="312">ROUND(L26*0.02/2,2)</f>
        <v>42249.87</v>
      </c>
      <c r="U26" s="7">
        <f t="shared" ref="U26" si="313">ROUND(L26*0.02/2,2)</f>
        <v>42249.87</v>
      </c>
      <c r="V26" s="16">
        <f t="shared" ref="V26" si="314">E26/W26</f>
        <v>2542.4772848064663</v>
      </c>
      <c r="W26" s="8">
        <v>1731</v>
      </c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</row>
    <row r="27" spans="1:96" ht="15" customHeight="1" x14ac:dyDescent="0.25">
      <c r="A27" s="6">
        <f>Mountaineer!A27</f>
        <v>45626</v>
      </c>
      <c r="B27" s="7">
        <v>68561211.030000001</v>
      </c>
      <c r="C27" s="7">
        <v>62001831.789999999</v>
      </c>
      <c r="D27" s="7">
        <v>936793.9</v>
      </c>
      <c r="E27" s="7">
        <f t="shared" ref="E27" si="315">B27-C27-D27</f>
        <v>5622585.3400000017</v>
      </c>
      <c r="F27" s="7">
        <f>ROUND(E27*0.04,2)+0.01</f>
        <v>224903.42</v>
      </c>
      <c r="G27" s="7">
        <f t="shared" ref="G27" si="316">ROUND(E27*0,2)</f>
        <v>0</v>
      </c>
      <c r="H27" s="7">
        <f t="shared" ref="H27" si="317">E27-F27-G27</f>
        <v>5397681.9200000018</v>
      </c>
      <c r="I27" s="7">
        <f t="shared" ref="I27" si="318">ROUND(H27*0,2)</f>
        <v>0</v>
      </c>
      <c r="J27" s="7">
        <f t="shared" ref="J27" si="319">ROUND((I27*0.58)+((I27*0.42)*0.1),2)</f>
        <v>0</v>
      </c>
      <c r="K27" s="7">
        <f t="shared" ref="K27" si="320">ROUND((I27*0.42)*0.9,2)</f>
        <v>0</v>
      </c>
      <c r="L27" s="18">
        <f t="shared" ref="L27" si="321">IF(J27+K27=I27,H27-I27,"ERROR")</f>
        <v>5397681.9200000018</v>
      </c>
      <c r="M27" s="7">
        <f t="shared" ref="M27" si="322">ROUND(L27*0.465,2)</f>
        <v>2509922.09</v>
      </c>
      <c r="N27" s="7">
        <f>ROUND(L27*0.3,2)</f>
        <v>1619304.58</v>
      </c>
      <c r="O27" s="7">
        <f t="shared" ref="O27" si="323">ROUND(L27*0.1285,2)</f>
        <v>693602.13</v>
      </c>
      <c r="P27" s="7">
        <f t="shared" ref="P27" si="324">ROUND((L27*0.07)*0.9,2)</f>
        <v>340053.96</v>
      </c>
      <c r="Q27" s="7">
        <f t="shared" ref="Q27" si="325">ROUND(L27*0.01,2)</f>
        <v>53976.82</v>
      </c>
      <c r="R27" s="7">
        <f t="shared" ref="R27" si="326">ROUND((L27*0.0075)*0.9,2)</f>
        <v>36434.35</v>
      </c>
      <c r="S27" s="7">
        <f t="shared" ref="S27" si="327">ROUND((L27*0.0075)*0.9,2)</f>
        <v>36434.35</v>
      </c>
      <c r="T27" s="7">
        <f t="shared" ref="T27" si="328">ROUND(L27*0.02/2,2)</f>
        <v>53976.82</v>
      </c>
      <c r="U27" s="7">
        <f t="shared" ref="U27" si="329">ROUND(L27*0.02/2,2)</f>
        <v>53976.82</v>
      </c>
      <c r="V27" s="16">
        <f t="shared" ref="V27" si="330">E27/W27</f>
        <v>3171.2269261139322</v>
      </c>
      <c r="W27" s="8">
        <v>1773</v>
      </c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  <c r="BZ27" s="7"/>
      <c r="CA27" s="7"/>
      <c r="CB27" s="7"/>
      <c r="CC27" s="7"/>
      <c r="CD27" s="7"/>
      <c r="CE27" s="7"/>
      <c r="CF27" s="7"/>
      <c r="CG27" s="7"/>
      <c r="CH27" s="7"/>
      <c r="CI27" s="7"/>
      <c r="CJ27" s="7"/>
      <c r="CK27" s="7"/>
      <c r="CL27" s="7"/>
      <c r="CM27" s="7"/>
      <c r="CN27" s="7"/>
      <c r="CO27" s="7"/>
      <c r="CP27" s="7"/>
      <c r="CQ27" s="7"/>
      <c r="CR27" s="7"/>
    </row>
    <row r="28" spans="1:96" ht="15" customHeight="1" x14ac:dyDescent="0.25">
      <c r="A28" s="6">
        <f>Mountaineer!A28</f>
        <v>45633</v>
      </c>
      <c r="B28" s="7">
        <v>54007987.290000007</v>
      </c>
      <c r="C28" s="7">
        <v>48896266.100000009</v>
      </c>
      <c r="D28" s="7">
        <v>869364.36</v>
      </c>
      <c r="E28" s="7">
        <f t="shared" ref="E28" si="331">B28-C28-D28</f>
        <v>4242356.8299999973</v>
      </c>
      <c r="F28" s="7">
        <f>ROUND(E28*0.04,2)</f>
        <v>169694.27</v>
      </c>
      <c r="G28" s="7">
        <f t="shared" ref="G28" si="332">ROUND(E28*0,2)</f>
        <v>0</v>
      </c>
      <c r="H28" s="7">
        <f t="shared" ref="H28" si="333">E28-F28-G28</f>
        <v>4072662.5599999973</v>
      </c>
      <c r="I28" s="7">
        <f t="shared" ref="I28" si="334">ROUND(H28*0,2)</f>
        <v>0</v>
      </c>
      <c r="J28" s="7">
        <f t="shared" ref="J28" si="335">ROUND((I28*0.58)+((I28*0.42)*0.1),2)</f>
        <v>0</v>
      </c>
      <c r="K28" s="7">
        <f t="shared" ref="K28" si="336">ROUND((I28*0.42)*0.9,2)</f>
        <v>0</v>
      </c>
      <c r="L28" s="18">
        <f t="shared" ref="L28" si="337">IF(J28+K28=I28,H28-I28,"ERROR")</f>
        <v>4072662.5599999973</v>
      </c>
      <c r="M28" s="7">
        <f t="shared" ref="M28" si="338">ROUND(L28*0.465,2)</f>
        <v>1893788.09</v>
      </c>
      <c r="N28" s="7">
        <f>ROUND(L28*0.3,2)-0.01</f>
        <v>1221798.76</v>
      </c>
      <c r="O28" s="7">
        <f t="shared" ref="O28" si="339">ROUND(L28*0.1285,2)</f>
        <v>523337.14</v>
      </c>
      <c r="P28" s="7">
        <f t="shared" ref="P28" si="340">ROUND((L28*0.07)*0.9,2)</f>
        <v>256577.74</v>
      </c>
      <c r="Q28" s="7">
        <f t="shared" ref="Q28" si="341">ROUND(L28*0.01,2)</f>
        <v>40726.629999999997</v>
      </c>
      <c r="R28" s="7">
        <f t="shared" ref="R28" si="342">ROUND((L28*0.0075)*0.9,2)</f>
        <v>27490.47</v>
      </c>
      <c r="S28" s="7">
        <f t="shared" ref="S28" si="343">ROUND((L28*0.0075)*0.9,2)</f>
        <v>27490.47</v>
      </c>
      <c r="T28" s="7">
        <f t="shared" ref="T28" si="344">ROUND(L28*0.02/2,2)</f>
        <v>40726.629999999997</v>
      </c>
      <c r="U28" s="7">
        <f t="shared" ref="U28" si="345">ROUND(L28*0.02/2,2)</f>
        <v>40726.629999999997</v>
      </c>
      <c r="V28" s="16">
        <f t="shared" ref="V28" si="346">E28/W28</f>
        <v>2422.8194346087935</v>
      </c>
      <c r="W28" s="8">
        <v>1751</v>
      </c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</row>
    <row r="29" spans="1:96" ht="15" customHeight="1" x14ac:dyDescent="0.25">
      <c r="A29" s="6">
        <f>Mountaineer!A29</f>
        <v>45640</v>
      </c>
      <c r="B29" s="7">
        <v>55472482.849999994</v>
      </c>
      <c r="C29" s="7">
        <v>50216789.569999993</v>
      </c>
      <c r="D29" s="7">
        <v>785014.24</v>
      </c>
      <c r="E29" s="7">
        <f t="shared" ref="E29" si="347">B29-C29-D29</f>
        <v>4470679.040000001</v>
      </c>
      <c r="F29" s="7">
        <f>ROUND(E29*0.04,2)</f>
        <v>178827.16</v>
      </c>
      <c r="G29" s="7">
        <f t="shared" ref="G29" si="348">ROUND(E29*0,2)</f>
        <v>0</v>
      </c>
      <c r="H29" s="7">
        <f t="shared" ref="H29" si="349">E29-F29-G29</f>
        <v>4291851.8800000008</v>
      </c>
      <c r="I29" s="7">
        <f t="shared" ref="I29" si="350">ROUND(H29*0,2)</f>
        <v>0</v>
      </c>
      <c r="J29" s="7">
        <f t="shared" ref="J29" si="351">ROUND((I29*0.58)+((I29*0.42)*0.1),2)</f>
        <v>0</v>
      </c>
      <c r="K29" s="7">
        <f t="shared" ref="K29" si="352">ROUND((I29*0.42)*0.9,2)</f>
        <v>0</v>
      </c>
      <c r="L29" s="18">
        <f t="shared" ref="L29" si="353">IF(J29+K29=I29,H29-I29,"ERROR")</f>
        <v>4291851.8800000008</v>
      </c>
      <c r="M29" s="7">
        <f t="shared" ref="M29" si="354">ROUND(L29*0.465,2)</f>
        <v>1995711.12</v>
      </c>
      <c r="N29" s="7">
        <f>ROUND(L29*0.3,2)</f>
        <v>1287555.56</v>
      </c>
      <c r="O29" s="7">
        <f t="shared" ref="O29" si="355">ROUND(L29*0.1285,2)</f>
        <v>551502.97</v>
      </c>
      <c r="P29" s="7">
        <f t="shared" ref="P29" si="356">ROUND((L29*0.07)*0.9,2)</f>
        <v>270386.67</v>
      </c>
      <c r="Q29" s="7">
        <f t="shared" ref="Q29" si="357">ROUND(L29*0.01,2)</f>
        <v>42918.52</v>
      </c>
      <c r="R29" s="7">
        <f t="shared" ref="R29" si="358">ROUND((L29*0.0075)*0.9,2)</f>
        <v>28970</v>
      </c>
      <c r="S29" s="7">
        <f t="shared" ref="S29" si="359">ROUND((L29*0.0075)*0.9,2)</f>
        <v>28970</v>
      </c>
      <c r="T29" s="7">
        <f t="shared" ref="T29" si="360">ROUND(L29*0.02/2,2)</f>
        <v>42918.52</v>
      </c>
      <c r="U29" s="7">
        <f t="shared" ref="U29" si="361">ROUND(L29*0.02/2,2)</f>
        <v>42918.52</v>
      </c>
      <c r="V29" s="16">
        <f t="shared" ref="V29" si="362">E29/W29</f>
        <v>2585.7021631000584</v>
      </c>
      <c r="W29" s="8">
        <v>1729</v>
      </c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  <c r="BZ29" s="7"/>
      <c r="CA29" s="7"/>
      <c r="CB29" s="7"/>
      <c r="CC29" s="7"/>
      <c r="CD29" s="7"/>
      <c r="CE29" s="7"/>
      <c r="CF29" s="7"/>
      <c r="CG29" s="7"/>
      <c r="CH29" s="7"/>
      <c r="CI29" s="7"/>
      <c r="CJ29" s="7"/>
      <c r="CK29" s="7"/>
      <c r="CL29" s="7"/>
      <c r="CM29" s="7"/>
      <c r="CN29" s="7"/>
      <c r="CO29" s="7"/>
      <c r="CP29" s="7"/>
      <c r="CQ29" s="7"/>
      <c r="CR29" s="7"/>
    </row>
    <row r="30" spans="1:96" ht="15" customHeight="1" x14ac:dyDescent="0.25">
      <c r="A30" s="6">
        <f>Mountaineer!A30</f>
        <v>45647</v>
      </c>
      <c r="B30" s="7">
        <v>51865127.809999995</v>
      </c>
      <c r="C30" s="7">
        <v>46846365.600000001</v>
      </c>
      <c r="D30" s="7">
        <v>821927.87</v>
      </c>
      <c r="E30" s="7">
        <f t="shared" ref="E30" si="363">B30-C30-D30</f>
        <v>4196834.3399999933</v>
      </c>
      <c r="F30" s="7">
        <f>ROUND(E30*0.04,2)+0.01</f>
        <v>167873.38</v>
      </c>
      <c r="G30" s="7">
        <f t="shared" ref="G30" si="364">ROUND(E30*0,2)</f>
        <v>0</v>
      </c>
      <c r="H30" s="7">
        <f t="shared" ref="H30" si="365">E30-F30-G30</f>
        <v>4028960.9599999934</v>
      </c>
      <c r="I30" s="7">
        <f t="shared" ref="I30" si="366">ROUND(H30*0,2)</f>
        <v>0</v>
      </c>
      <c r="J30" s="7">
        <f t="shared" ref="J30" si="367">ROUND((I30*0.58)+((I30*0.42)*0.1),2)</f>
        <v>0</v>
      </c>
      <c r="K30" s="7">
        <f t="shared" ref="K30" si="368">ROUND((I30*0.42)*0.9,2)</f>
        <v>0</v>
      </c>
      <c r="L30" s="18">
        <f t="shared" ref="L30" si="369">IF(J30+K30=I30,H30-I30,"ERROR")</f>
        <v>4028960.9599999934</v>
      </c>
      <c r="M30" s="7">
        <f t="shared" ref="M30" si="370">ROUND(L30*0.465,2)</f>
        <v>1873466.85</v>
      </c>
      <c r="N30" s="7">
        <f>ROUND(L30*0.3,2)-0.01</f>
        <v>1208688.28</v>
      </c>
      <c r="O30" s="7">
        <f t="shared" ref="O30" si="371">ROUND(L30*0.1285,2)</f>
        <v>517721.48</v>
      </c>
      <c r="P30" s="7">
        <f t="shared" ref="P30" si="372">ROUND((L30*0.07)*0.9,2)</f>
        <v>253824.54</v>
      </c>
      <c r="Q30" s="7">
        <f t="shared" ref="Q30" si="373">ROUND(L30*0.01,2)</f>
        <v>40289.61</v>
      </c>
      <c r="R30" s="7">
        <f t="shared" ref="R30" si="374">ROUND((L30*0.0075)*0.9,2)</f>
        <v>27195.49</v>
      </c>
      <c r="S30" s="7">
        <f t="shared" ref="S30" si="375">ROUND((L30*0.0075)*0.9,2)</f>
        <v>27195.49</v>
      </c>
      <c r="T30" s="7">
        <f t="shared" ref="T30" si="376">ROUND(L30*0.02/2,2)</f>
        <v>40289.61</v>
      </c>
      <c r="U30" s="7">
        <f t="shared" ref="U30" si="377">ROUND(L30*0.02/2,2)</f>
        <v>40289.61</v>
      </c>
      <c r="V30" s="16">
        <f t="shared" ref="V30" si="378">E30/W30</f>
        <v>2406.4417087155925</v>
      </c>
      <c r="W30" s="8">
        <v>1744</v>
      </c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</row>
    <row r="31" spans="1:96" ht="15" customHeight="1" x14ac:dyDescent="0.25">
      <c r="A31" s="6">
        <f>Mountaineer!A31</f>
        <v>45654</v>
      </c>
      <c r="B31" s="7">
        <v>77544365.670000002</v>
      </c>
      <c r="C31" s="7">
        <v>70255470.599999994</v>
      </c>
      <c r="D31" s="7">
        <v>1050544.51</v>
      </c>
      <c r="E31" s="7">
        <f t="shared" ref="E31" si="379">B31-C31-D31</f>
        <v>6238350.560000008</v>
      </c>
      <c r="F31" s="7">
        <f>ROUND(E31*0.04,2)+0.01</f>
        <v>249534.03</v>
      </c>
      <c r="G31" s="7">
        <f t="shared" ref="G31" si="380">ROUND(E31*0,2)</f>
        <v>0</v>
      </c>
      <c r="H31" s="7">
        <f t="shared" ref="H31" si="381">E31-F31-G31</f>
        <v>5988816.5300000077</v>
      </c>
      <c r="I31" s="7">
        <f t="shared" ref="I31" si="382">ROUND(H31*0,2)</f>
        <v>0</v>
      </c>
      <c r="J31" s="7">
        <f t="shared" ref="J31" si="383">ROUND((I31*0.58)+((I31*0.42)*0.1),2)</f>
        <v>0</v>
      </c>
      <c r="K31" s="7">
        <f t="shared" ref="K31" si="384">ROUND((I31*0.42)*0.9,2)</f>
        <v>0</v>
      </c>
      <c r="L31" s="18">
        <f t="shared" ref="L31" si="385">IF(J31+K31=I31,H31-I31,"ERROR")</f>
        <v>5988816.5300000077</v>
      </c>
      <c r="M31" s="7">
        <f t="shared" ref="M31" si="386">ROUND(L31*0.465,2)</f>
        <v>2784799.69</v>
      </c>
      <c r="N31" s="7">
        <f>ROUND(L31*0.3,2)-0.01</f>
        <v>1796644.95</v>
      </c>
      <c r="O31" s="7">
        <f t="shared" ref="O31" si="387">ROUND(L31*0.1285,2)</f>
        <v>769562.92</v>
      </c>
      <c r="P31" s="7">
        <f t="shared" ref="P31" si="388">ROUND((L31*0.07)*0.9,2)</f>
        <v>377295.44</v>
      </c>
      <c r="Q31" s="7">
        <f t="shared" ref="Q31" si="389">ROUND(L31*0.01,2)</f>
        <v>59888.17</v>
      </c>
      <c r="R31" s="7">
        <f t="shared" ref="R31" si="390">ROUND((L31*0.0075)*0.9,2)</f>
        <v>40424.51</v>
      </c>
      <c r="S31" s="7">
        <f t="shared" ref="S31" si="391">ROUND((L31*0.0075)*0.9,2)</f>
        <v>40424.51</v>
      </c>
      <c r="T31" s="7">
        <f t="shared" ref="T31" si="392">ROUND(L31*0.02/2,2)</f>
        <v>59888.17</v>
      </c>
      <c r="U31" s="7">
        <f t="shared" ref="U31" si="393">ROUND(L31*0.02/2,2)</f>
        <v>59888.17</v>
      </c>
      <c r="V31" s="16">
        <f t="shared" ref="V31" si="394">E31/W31</f>
        <v>3526.4842057659739</v>
      </c>
      <c r="W31" s="8">
        <v>1769</v>
      </c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  <c r="BZ31" s="7"/>
      <c r="CA31" s="7"/>
      <c r="CB31" s="7"/>
      <c r="CC31" s="7"/>
      <c r="CD31" s="7"/>
      <c r="CE31" s="7"/>
      <c r="CF31" s="7"/>
      <c r="CG31" s="7"/>
      <c r="CH31" s="7"/>
      <c r="CI31" s="7"/>
      <c r="CJ31" s="7"/>
      <c r="CK31" s="7"/>
      <c r="CL31" s="7"/>
      <c r="CM31" s="7"/>
      <c r="CN31" s="7"/>
      <c r="CO31" s="7"/>
      <c r="CP31" s="7"/>
      <c r="CQ31" s="7"/>
      <c r="CR31" s="7"/>
    </row>
    <row r="32" spans="1:96" ht="15" customHeight="1" x14ac:dyDescent="0.25">
      <c r="A32" s="6">
        <f>Mountaineer!A32</f>
        <v>45661</v>
      </c>
      <c r="B32" s="7">
        <v>74648213.680000007</v>
      </c>
      <c r="C32" s="7">
        <v>67467934.969999999</v>
      </c>
      <c r="D32" s="7">
        <v>1186466.3799999999</v>
      </c>
      <c r="E32" s="7">
        <f t="shared" ref="E32" si="395">B32-C32-D32</f>
        <v>5993812.3300000085</v>
      </c>
      <c r="F32" s="7">
        <v>194173.64</v>
      </c>
      <c r="G32" s="7">
        <v>45578.86</v>
      </c>
      <c r="H32" s="7">
        <f t="shared" ref="H32" si="396">E32-F32-G32</f>
        <v>5754059.8300000085</v>
      </c>
      <c r="I32" s="7">
        <f t="shared" ref="I32" si="397">ROUND(H32*0,2)</f>
        <v>0</v>
      </c>
      <c r="J32" s="7">
        <f t="shared" ref="J32" si="398">ROUND((I32*0.58)+((I32*0.42)*0.1),2)</f>
        <v>0</v>
      </c>
      <c r="K32" s="7">
        <f t="shared" ref="K32" si="399">ROUND((I32*0.42)*0.9,2)</f>
        <v>0</v>
      </c>
      <c r="L32" s="18">
        <f t="shared" ref="L32" si="400">IF(J32+K32=I32,H32-I32,"ERROR")</f>
        <v>5754059.8300000085</v>
      </c>
      <c r="M32" s="7">
        <f t="shared" ref="M32" si="401">ROUND(L32*0.465,2)</f>
        <v>2675637.8199999998</v>
      </c>
      <c r="N32" s="7">
        <f>ROUND(L32*0.3,2)</f>
        <v>1726217.95</v>
      </c>
      <c r="O32" s="7">
        <f t="shared" ref="O32" si="402">ROUND(L32*0.1285,2)</f>
        <v>739396.69</v>
      </c>
      <c r="P32" s="7">
        <f t="shared" ref="P32" si="403">ROUND((L32*0.07)*0.9,2)</f>
        <v>362505.77</v>
      </c>
      <c r="Q32" s="7">
        <f t="shared" ref="Q32" si="404">ROUND(L32*0.01,2)</f>
        <v>57540.6</v>
      </c>
      <c r="R32" s="7">
        <f t="shared" ref="R32" si="405">ROUND((L32*0.0075)*0.9,2)</f>
        <v>38839.9</v>
      </c>
      <c r="S32" s="7">
        <f t="shared" ref="S32" si="406">ROUND((L32*0.0075)*0.9,2)</f>
        <v>38839.9</v>
      </c>
      <c r="T32" s="7">
        <f t="shared" ref="T32" si="407">ROUND(L32*0.02/2,2)</f>
        <v>57540.6</v>
      </c>
      <c r="U32" s="7">
        <f t="shared" ref="U32" si="408">ROUND(L32*0.02/2,2)</f>
        <v>57540.6</v>
      </c>
      <c r="V32" s="16">
        <f t="shared" ref="V32" si="409">E32/W32</f>
        <v>3384.4225465838558</v>
      </c>
      <c r="W32" s="8">
        <v>1771</v>
      </c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</row>
    <row r="33" spans="1:96" ht="15" customHeight="1" x14ac:dyDescent="0.25">
      <c r="A33" s="6">
        <f>Mountaineer!A33</f>
        <v>45668</v>
      </c>
      <c r="B33" s="7">
        <v>43745466.049999997</v>
      </c>
      <c r="C33" s="7">
        <v>39313411.170000002</v>
      </c>
      <c r="D33" s="7">
        <v>729171.94</v>
      </c>
      <c r="E33" s="7">
        <f t="shared" ref="E33" si="410">B33-C33-D33</f>
        <v>3702882.9399999953</v>
      </c>
      <c r="F33" s="7">
        <v>0</v>
      </c>
      <c r="G33" s="7">
        <f>ROUND(E33*0.04,2)</f>
        <v>148115.32</v>
      </c>
      <c r="H33" s="7">
        <f t="shared" ref="H33" si="411">E33-F33-G33</f>
        <v>3554767.6199999955</v>
      </c>
      <c r="I33" s="7">
        <v>63771.73</v>
      </c>
      <c r="J33" s="7">
        <f t="shared" ref="J33:J38" si="412">ROUND((I33*0.58)+((I33*0.42)*0.1),2)</f>
        <v>39666.019999999997</v>
      </c>
      <c r="K33" s="7">
        <f t="shared" ref="K33" si="413">ROUND((I33*0.42)*0.9,2)</f>
        <v>24105.71</v>
      </c>
      <c r="L33" s="18">
        <f t="shared" ref="L33" si="414">IF(J33+K33=I33,H33-I33,"ERROR")</f>
        <v>3490995.8899999955</v>
      </c>
      <c r="M33" s="7">
        <v>1597485.54</v>
      </c>
      <c r="N33" s="7">
        <v>875115.1</v>
      </c>
      <c r="O33" s="7">
        <v>664970.44999999995</v>
      </c>
      <c r="P33" s="7">
        <v>204436.21</v>
      </c>
      <c r="Q33" s="7">
        <v>32040.23</v>
      </c>
      <c r="R33" s="7">
        <f t="shared" ref="R33" si="415">ROUND((L33*0.0075)*0.9,2)</f>
        <v>23564.22</v>
      </c>
      <c r="S33" s="7">
        <f t="shared" ref="S33" si="416">ROUND((L33*0.0075)*0.9,2)</f>
        <v>23564.22</v>
      </c>
      <c r="T33" s="7">
        <f t="shared" ref="T33" si="417">ROUND(L33*0.02/2,2)</f>
        <v>34909.96</v>
      </c>
      <c r="U33" s="7">
        <f t="shared" ref="U33" si="418">ROUND(L33*0.02/2,2)</f>
        <v>34909.96</v>
      </c>
      <c r="V33" s="16">
        <f t="shared" ref="V33" si="419">E33/W33</f>
        <v>2242.8121986674714</v>
      </c>
      <c r="W33" s="8">
        <v>1651</v>
      </c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  <c r="BZ33" s="7"/>
      <c r="CA33" s="7"/>
      <c r="CB33" s="7"/>
      <c r="CC33" s="7"/>
      <c r="CD33" s="7"/>
      <c r="CE33" s="7"/>
      <c r="CF33" s="7"/>
      <c r="CG33" s="7"/>
      <c r="CH33" s="7"/>
      <c r="CI33" s="7"/>
      <c r="CJ33" s="7"/>
      <c r="CK33" s="7"/>
      <c r="CL33" s="7"/>
      <c r="CM33" s="7"/>
      <c r="CN33" s="7"/>
      <c r="CO33" s="7"/>
      <c r="CP33" s="7"/>
      <c r="CQ33" s="7"/>
      <c r="CR33" s="7"/>
    </row>
    <row r="34" spans="1:96" ht="15" customHeight="1" x14ac:dyDescent="0.25">
      <c r="A34" s="6">
        <f>Mountaineer!A34</f>
        <v>45675</v>
      </c>
      <c r="B34" s="7">
        <v>56071134.489999995</v>
      </c>
      <c r="C34" s="7">
        <v>50503119.850000001</v>
      </c>
      <c r="D34" s="7">
        <v>931120.40999999992</v>
      </c>
      <c r="E34" s="7">
        <f t="shared" ref="E34" si="420">B34-C34-D34</f>
        <v>4636894.229999993</v>
      </c>
      <c r="F34" s="7">
        <v>0</v>
      </c>
      <c r="G34" s="7">
        <f>ROUND(E34*0.04,2)</f>
        <v>185475.77</v>
      </c>
      <c r="H34" s="7">
        <f t="shared" ref="H34" si="421">E34-F34-G34</f>
        <v>4451418.4599999934</v>
      </c>
      <c r="I34" s="7">
        <f>ROUND(H34*0.1,2)+0.01</f>
        <v>445141.86</v>
      </c>
      <c r="J34" s="7">
        <f t="shared" si="412"/>
        <v>276878.24</v>
      </c>
      <c r="K34" s="7">
        <f t="shared" ref="K34" si="422">ROUND((I34*0.42)*0.9,2)</f>
        <v>168263.62</v>
      </c>
      <c r="L34" s="18">
        <f t="shared" ref="L34" si="423">IF(J34+K34=I34,H34-I34,"ERROR")</f>
        <v>4006276.5999999936</v>
      </c>
      <c r="M34" s="7">
        <f t="shared" ref="M34:M39" si="424">ROUND(L34*0.42,2)</f>
        <v>1682636.17</v>
      </c>
      <c r="N34" s="7">
        <v>0</v>
      </c>
      <c r="O34" s="7">
        <f>ROUND((L34*0.0955)+(L34*0.41),2)+0.01</f>
        <v>2025172.83</v>
      </c>
      <c r="P34" s="7">
        <f t="shared" ref="P34:P39" si="425">ROUND((L34*0.04)*0.9,2)</f>
        <v>144225.96</v>
      </c>
      <c r="Q34" s="7">
        <f t="shared" ref="Q34:Q39" si="426">ROUND(L34*0.005,2)</f>
        <v>20031.38</v>
      </c>
      <c r="R34" s="7">
        <f t="shared" ref="R34" si="427">ROUND((L34*0.0075)*0.9,2)</f>
        <v>27042.37</v>
      </c>
      <c r="S34" s="7">
        <f t="shared" ref="S34" si="428">ROUND((L34*0.0075)*0.9,2)</f>
        <v>27042.37</v>
      </c>
      <c r="T34" s="7">
        <f>ROUND(L34*0.02/2,2)-0.01</f>
        <v>40062.759999999995</v>
      </c>
      <c r="U34" s="7">
        <f>ROUND(L34*0.02/2,2)-0.01</f>
        <v>40062.759999999995</v>
      </c>
      <c r="V34" s="16">
        <f t="shared" ref="V34" si="429">E34/W34</f>
        <v>2710.0492285213286</v>
      </c>
      <c r="W34" s="8">
        <v>1711</v>
      </c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  <c r="BZ34" s="7"/>
      <c r="CA34" s="7"/>
      <c r="CB34" s="7"/>
      <c r="CC34" s="7"/>
      <c r="CD34" s="7"/>
      <c r="CE34" s="7"/>
      <c r="CF34" s="7"/>
      <c r="CG34" s="7"/>
      <c r="CH34" s="7"/>
      <c r="CI34" s="7"/>
      <c r="CJ34" s="7"/>
      <c r="CK34" s="7"/>
      <c r="CL34" s="7"/>
      <c r="CM34" s="7"/>
      <c r="CN34" s="7"/>
      <c r="CO34" s="7"/>
      <c r="CP34" s="7"/>
      <c r="CQ34" s="7"/>
      <c r="CR34" s="7"/>
    </row>
    <row r="35" spans="1:96" ht="15" customHeight="1" x14ac:dyDescent="0.25">
      <c r="A35" s="6">
        <f>Mountaineer!A35</f>
        <v>45682</v>
      </c>
      <c r="B35" s="7">
        <v>52359113.040000007</v>
      </c>
      <c r="C35" s="7">
        <v>47433216.75</v>
      </c>
      <c r="D35" s="7">
        <v>843883.16999999993</v>
      </c>
      <c r="E35" s="7">
        <f t="shared" ref="E35" si="430">B35-C35-D35</f>
        <v>4082013.1200000066</v>
      </c>
      <c r="F35" s="7">
        <v>0</v>
      </c>
      <c r="G35" s="7">
        <f>ROUND(E35*0.04,2)-0.01</f>
        <v>163280.50999999998</v>
      </c>
      <c r="H35" s="7">
        <f t="shared" ref="H35" si="431">E35-F35-G35</f>
        <v>3918732.6100000069</v>
      </c>
      <c r="I35" s="7">
        <f>ROUND(H35*0.1,2)</f>
        <v>391873.26</v>
      </c>
      <c r="J35" s="7">
        <f t="shared" si="412"/>
        <v>243745.17</v>
      </c>
      <c r="K35" s="7">
        <f t="shared" ref="K35" si="432">ROUND((I35*0.42)*0.9,2)</f>
        <v>148128.09</v>
      </c>
      <c r="L35" s="18">
        <f t="shared" ref="L35" si="433">IF(J35+K35=I35,H35-I35,"ERROR")</f>
        <v>3526859.3500000071</v>
      </c>
      <c r="M35" s="7">
        <f t="shared" si="424"/>
        <v>1481280.93</v>
      </c>
      <c r="N35" s="7">
        <v>0</v>
      </c>
      <c r="O35" s="7">
        <f>ROUND((L35*0.0955)+(L35*0.41),2)-0.02</f>
        <v>1782827.38</v>
      </c>
      <c r="P35" s="7">
        <f t="shared" si="425"/>
        <v>126966.94</v>
      </c>
      <c r="Q35" s="7">
        <f t="shared" si="426"/>
        <v>17634.3</v>
      </c>
      <c r="R35" s="7">
        <f t="shared" ref="R35" si="434">ROUND((L35*0.0075)*0.9,2)</f>
        <v>23806.3</v>
      </c>
      <c r="S35" s="7">
        <f t="shared" ref="S35" si="435">ROUND((L35*0.0075)*0.9,2)</f>
        <v>23806.3</v>
      </c>
      <c r="T35" s="7">
        <f>ROUND(L35*0.02/2,2)+0.01</f>
        <v>35268.6</v>
      </c>
      <c r="U35" s="7">
        <f>ROUND(L35*0.02/2,2)+0.01</f>
        <v>35268.6</v>
      </c>
      <c r="V35" s="16">
        <f t="shared" ref="V35" si="436">E35/W35</f>
        <v>2402.5974808711044</v>
      </c>
      <c r="W35" s="8">
        <v>1699</v>
      </c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  <c r="BZ35" s="7"/>
      <c r="CA35" s="7"/>
      <c r="CB35" s="7"/>
      <c r="CC35" s="7"/>
      <c r="CD35" s="7"/>
      <c r="CE35" s="7"/>
      <c r="CF35" s="7"/>
      <c r="CG35" s="7"/>
      <c r="CH35" s="7"/>
      <c r="CI35" s="7"/>
      <c r="CJ35" s="7"/>
      <c r="CK35" s="7"/>
      <c r="CL35" s="7"/>
      <c r="CM35" s="7"/>
      <c r="CN35" s="7"/>
      <c r="CO35" s="7"/>
      <c r="CP35" s="7"/>
      <c r="CQ35" s="7"/>
      <c r="CR35" s="7"/>
    </row>
    <row r="36" spans="1:96" ht="15" customHeight="1" x14ac:dyDescent="0.25">
      <c r="A36" s="6">
        <f>Mountaineer!A36</f>
        <v>45689</v>
      </c>
      <c r="B36" s="7">
        <v>60029072.599999994</v>
      </c>
      <c r="C36" s="7">
        <v>53957974.880000003</v>
      </c>
      <c r="D36" s="7">
        <v>889181.05999999994</v>
      </c>
      <c r="E36" s="7">
        <f t="shared" ref="E36" si="437">B36-C36-D36</f>
        <v>5181916.6599999918</v>
      </c>
      <c r="F36" s="7">
        <v>0</v>
      </c>
      <c r="G36" s="7">
        <f>ROUND(E36*0.04,2)-0.01</f>
        <v>207276.66</v>
      </c>
      <c r="H36" s="7">
        <f t="shared" ref="H36" si="438">E36-F36-G36</f>
        <v>4974639.9999999916</v>
      </c>
      <c r="I36" s="7">
        <f>ROUND(H36*0.1,2)+0.01</f>
        <v>497464.01</v>
      </c>
      <c r="J36" s="7">
        <f t="shared" si="412"/>
        <v>309422.61</v>
      </c>
      <c r="K36" s="7">
        <f t="shared" ref="K36" si="439">ROUND((I36*0.42)*0.9,2)</f>
        <v>188041.4</v>
      </c>
      <c r="L36" s="18">
        <f t="shared" ref="L36" si="440">IF(J36+K36=I36,H36-I36,"ERROR")</f>
        <v>4477175.9899999918</v>
      </c>
      <c r="M36" s="7">
        <f t="shared" si="424"/>
        <v>1880413.92</v>
      </c>
      <c r="N36" s="7">
        <v>0</v>
      </c>
      <c r="O36" s="7">
        <f>ROUND((L36*0.0955)+(L36*0.41),2)-0.01</f>
        <v>2263212.4500000002</v>
      </c>
      <c r="P36" s="7">
        <f t="shared" si="425"/>
        <v>161178.34</v>
      </c>
      <c r="Q36" s="7">
        <f t="shared" si="426"/>
        <v>22385.88</v>
      </c>
      <c r="R36" s="7">
        <f t="shared" ref="R36" si="441">ROUND((L36*0.0075)*0.9,2)</f>
        <v>30220.94</v>
      </c>
      <c r="S36" s="7">
        <f t="shared" ref="S36" si="442">ROUND((L36*0.0075)*0.9,2)</f>
        <v>30220.94</v>
      </c>
      <c r="T36" s="7">
        <f>ROUND(L36*0.02/2,2)</f>
        <v>44771.76</v>
      </c>
      <c r="U36" s="7">
        <f>ROUND(L36*0.02/2,2)</f>
        <v>44771.76</v>
      </c>
      <c r="V36" s="16">
        <f t="shared" ref="V36" si="443">E36/W36</f>
        <v>3086.3112924359689</v>
      </c>
      <c r="W36" s="8">
        <v>1679</v>
      </c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7"/>
      <c r="CD36" s="7"/>
      <c r="CE36" s="7"/>
      <c r="CF36" s="7"/>
      <c r="CG36" s="7"/>
      <c r="CH36" s="7"/>
      <c r="CI36" s="7"/>
      <c r="CJ36" s="7"/>
      <c r="CK36" s="7"/>
      <c r="CL36" s="7"/>
      <c r="CM36" s="7"/>
      <c r="CN36" s="7"/>
      <c r="CO36" s="7"/>
      <c r="CP36" s="7"/>
      <c r="CQ36" s="7"/>
      <c r="CR36" s="7"/>
    </row>
    <row r="37" spans="1:96" ht="15" customHeight="1" x14ac:dyDescent="0.25">
      <c r="A37" s="6">
        <f>Mountaineer!A37</f>
        <v>45696</v>
      </c>
      <c r="B37" s="7">
        <v>54184103.710000008</v>
      </c>
      <c r="C37" s="7">
        <v>49326357.210000008</v>
      </c>
      <c r="D37" s="7">
        <v>866599.28</v>
      </c>
      <c r="E37" s="7">
        <f t="shared" ref="E37" si="444">B37-C37-D37</f>
        <v>3991147.2199999997</v>
      </c>
      <c r="F37" s="7">
        <v>0</v>
      </c>
      <c r="G37" s="7">
        <f>ROUND(E37*0.04,2)</f>
        <v>159645.89000000001</v>
      </c>
      <c r="H37" s="7">
        <f t="shared" ref="H37" si="445">E37-F37-G37</f>
        <v>3831501.3299999996</v>
      </c>
      <c r="I37" s="7">
        <f>ROUND(H37*0.1,2)+0.01</f>
        <v>383150.14</v>
      </c>
      <c r="J37" s="7">
        <f t="shared" si="412"/>
        <v>238319.39</v>
      </c>
      <c r="K37" s="7">
        <f t="shared" ref="K37" si="446">ROUND((I37*0.42)*0.9,2)</f>
        <v>144830.75</v>
      </c>
      <c r="L37" s="18">
        <f t="shared" ref="L37" si="447">IF(J37+K37=I37,H37-I37,"ERROR")</f>
        <v>3448351.1899999995</v>
      </c>
      <c r="M37" s="7">
        <f t="shared" si="424"/>
        <v>1448307.5</v>
      </c>
      <c r="N37" s="7">
        <v>0</v>
      </c>
      <c r="O37" s="7">
        <f>ROUND((L37*0.0955)+(L37*0.41),2)-0.02</f>
        <v>1743141.51</v>
      </c>
      <c r="P37" s="7">
        <f t="shared" si="425"/>
        <v>124140.64</v>
      </c>
      <c r="Q37" s="7">
        <f t="shared" si="426"/>
        <v>17241.759999999998</v>
      </c>
      <c r="R37" s="7">
        <f t="shared" ref="R37" si="448">ROUND((L37*0.0075)*0.9,2)</f>
        <v>23276.37</v>
      </c>
      <c r="S37" s="7">
        <f t="shared" ref="S37" si="449">ROUND((L37*0.0075)*0.9,2)</f>
        <v>23276.37</v>
      </c>
      <c r="T37" s="7">
        <f>ROUND(L37*0.02/2,2)+0.01</f>
        <v>34483.520000000004</v>
      </c>
      <c r="U37" s="7">
        <f>ROUND(L37*0.02/2,2)+0.01</f>
        <v>34483.520000000004</v>
      </c>
      <c r="V37" s="16">
        <f t="shared" ref="V37" si="450">E37/W37</f>
        <v>2405.7548040988545</v>
      </c>
      <c r="W37" s="8">
        <v>1659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7"/>
      <c r="CD37" s="7"/>
      <c r="CE37" s="7"/>
      <c r="CF37" s="7"/>
      <c r="CG37" s="7"/>
      <c r="CH37" s="7"/>
      <c r="CI37" s="7"/>
      <c r="CJ37" s="7"/>
      <c r="CK37" s="7"/>
      <c r="CL37" s="7"/>
      <c r="CM37" s="7"/>
      <c r="CN37" s="7"/>
      <c r="CO37" s="7"/>
      <c r="CP37" s="7"/>
      <c r="CQ37" s="7"/>
      <c r="CR37" s="7"/>
    </row>
    <row r="38" spans="1:96" ht="15" customHeight="1" x14ac:dyDescent="0.25">
      <c r="A38" s="6">
        <f>Mountaineer!A38</f>
        <v>45703</v>
      </c>
      <c r="B38" s="7">
        <v>56318814.670000002</v>
      </c>
      <c r="C38" s="7">
        <v>50809262.230000004</v>
      </c>
      <c r="D38" s="7">
        <v>809218.45000000007</v>
      </c>
      <c r="E38" s="7">
        <f t="shared" ref="E38" si="451">B38-C38-D38</f>
        <v>4700333.9899999974</v>
      </c>
      <c r="F38" s="7">
        <v>0</v>
      </c>
      <c r="G38" s="7">
        <f>ROUND(E38*0.04,2)+0.02</f>
        <v>188013.37999999998</v>
      </c>
      <c r="H38" s="7">
        <f t="shared" ref="H38" si="452">E38-F38-G38</f>
        <v>4512320.6099999975</v>
      </c>
      <c r="I38" s="7">
        <f>ROUND(H38*0.1,2)</f>
        <v>451232.06</v>
      </c>
      <c r="J38" s="7">
        <f t="shared" si="412"/>
        <v>280666.34000000003</v>
      </c>
      <c r="K38" s="7">
        <f t="shared" ref="K38" si="453">ROUND((I38*0.42)*0.9,2)</f>
        <v>170565.72</v>
      </c>
      <c r="L38" s="18">
        <f t="shared" ref="L38" si="454">IF(J38+K38=I38,H38-I38,"ERROR")</f>
        <v>4061088.5499999975</v>
      </c>
      <c r="M38" s="7">
        <f t="shared" si="424"/>
        <v>1705657.19</v>
      </c>
      <c r="N38" s="7">
        <v>0</v>
      </c>
      <c r="O38" s="7">
        <f>ROUND((L38*0.0955)+(L38*0.41),2)+0.01</f>
        <v>2052880.27</v>
      </c>
      <c r="P38" s="7">
        <f t="shared" si="425"/>
        <v>146199.19</v>
      </c>
      <c r="Q38" s="7">
        <f t="shared" si="426"/>
        <v>20305.439999999999</v>
      </c>
      <c r="R38" s="7">
        <f t="shared" ref="R38" si="455">ROUND((L38*0.0075)*0.9,2)</f>
        <v>27412.35</v>
      </c>
      <c r="S38" s="7">
        <f t="shared" ref="S38" si="456">ROUND((L38*0.0075)*0.9,2)</f>
        <v>27412.35</v>
      </c>
      <c r="T38" s="7">
        <f>ROUND(L38*0.02/2,2)-0.01</f>
        <v>40610.879999999997</v>
      </c>
      <c r="U38" s="7">
        <f>ROUND(L38*0.02/2,2)-0.01</f>
        <v>40610.879999999997</v>
      </c>
      <c r="V38" s="16">
        <f t="shared" ref="V38" si="457">E38/W38</f>
        <v>3046.2307128969524</v>
      </c>
      <c r="W38" s="8">
        <v>1543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</row>
    <row r="39" spans="1:96" ht="15" customHeight="1" x14ac:dyDescent="0.25">
      <c r="A39" s="6">
        <f>Mountaineer!A39</f>
        <v>45710</v>
      </c>
      <c r="B39" s="7">
        <v>67001215.409999996</v>
      </c>
      <c r="C39" s="7">
        <v>60548672.68</v>
      </c>
      <c r="D39" s="7">
        <v>1033560.3</v>
      </c>
      <c r="E39" s="7">
        <f t="shared" ref="E39" si="458">B39-C39-D39</f>
        <v>5418982.4299999969</v>
      </c>
      <c r="F39" s="7">
        <v>0</v>
      </c>
      <c r="G39" s="7">
        <f>ROUND(E39*0.04,2)</f>
        <v>216759.3</v>
      </c>
      <c r="H39" s="7">
        <f t="shared" ref="H39:H44" si="459">E39-F39-G39</f>
        <v>5202223.1299999971</v>
      </c>
      <c r="I39" s="7">
        <f>ROUND(H39*0.1,2)+0.01</f>
        <v>520222.32</v>
      </c>
      <c r="J39" s="7">
        <f t="shared" ref="J39" si="460">ROUND((I39*0.58)+((I39*0.42)*0.1),2)</f>
        <v>323578.28000000003</v>
      </c>
      <c r="K39" s="7">
        <f t="shared" ref="K39:K44" si="461">ROUND((I39*0.42)*0.9,2)</f>
        <v>196644.04</v>
      </c>
      <c r="L39" s="18">
        <f t="shared" ref="L39" si="462">IF(J39+K39=I39,H39-I39,"ERROR")</f>
        <v>4682000.8099999968</v>
      </c>
      <c r="M39" s="7">
        <f t="shared" si="424"/>
        <v>1966440.34</v>
      </c>
      <c r="N39" s="7">
        <v>0</v>
      </c>
      <c r="O39" s="7">
        <f>ROUND((L39*0.0955)+(L39*0.41),2)+0.01</f>
        <v>2366751.42</v>
      </c>
      <c r="P39" s="7">
        <f t="shared" si="425"/>
        <v>168552.03</v>
      </c>
      <c r="Q39" s="7">
        <f t="shared" si="426"/>
        <v>23410</v>
      </c>
      <c r="R39" s="7">
        <f t="shared" ref="R39" si="463">ROUND((L39*0.0075)*0.9,2)</f>
        <v>31603.51</v>
      </c>
      <c r="S39" s="7">
        <f t="shared" ref="S39" si="464">ROUND((L39*0.0075)*0.9,2)</f>
        <v>31603.51</v>
      </c>
      <c r="T39" s="7">
        <f>ROUND(L39*0.02/2,2)-0.01</f>
        <v>46820</v>
      </c>
      <c r="U39" s="7">
        <f>ROUND(L39*0.02/2,2)-0.01</f>
        <v>46820</v>
      </c>
      <c r="V39" s="16">
        <f t="shared" ref="V39" si="465">E39/W39</f>
        <v>3165.2934754672879</v>
      </c>
      <c r="W39" s="8">
        <v>1712</v>
      </c>
      <c r="X39" s="7"/>
      <c r="Y39" s="7"/>
      <c r="Z39" s="7"/>
      <c r="AA39" s="7"/>
      <c r="AB39" s="7"/>
      <c r="AC39" s="7"/>
      <c r="AD39" s="7"/>
      <c r="AE39" s="7"/>
      <c r="AF39" s="7"/>
      <c r="AG39" s="7"/>
      <c r="AH39" s="7"/>
      <c r="AI39" s="7"/>
      <c r="AJ39" s="7"/>
      <c r="AK39" s="7"/>
      <c r="AL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  <c r="BZ39" s="7"/>
      <c r="CA39" s="7"/>
      <c r="CB39" s="7"/>
      <c r="CC39" s="7"/>
      <c r="CD39" s="7"/>
      <c r="CE39" s="7"/>
      <c r="CF39" s="7"/>
      <c r="CG39" s="7"/>
      <c r="CH39" s="7"/>
      <c r="CI39" s="7"/>
      <c r="CJ39" s="7"/>
      <c r="CK39" s="7"/>
      <c r="CL39" s="7"/>
      <c r="CM39" s="7"/>
      <c r="CN39" s="7"/>
      <c r="CO39" s="7"/>
      <c r="CP39" s="7"/>
      <c r="CQ39" s="7"/>
      <c r="CR39" s="7"/>
    </row>
    <row r="40" spans="1:96" ht="15" customHeight="1" x14ac:dyDescent="0.25">
      <c r="A40" s="6">
        <f>Mountaineer!A40</f>
        <v>45717</v>
      </c>
      <c r="B40" s="7">
        <v>66656944.270000003</v>
      </c>
      <c r="C40" s="7">
        <v>60223658.75</v>
      </c>
      <c r="D40" s="7">
        <v>989818.57</v>
      </c>
      <c r="E40" s="7">
        <f t="shared" ref="E40" si="466">B40-C40-D40</f>
        <v>5443466.950000003</v>
      </c>
      <c r="F40" s="7">
        <v>0</v>
      </c>
      <c r="G40" s="7">
        <f>ROUND(E40*0.04,2)-0.01</f>
        <v>217738.66999999998</v>
      </c>
      <c r="H40" s="7">
        <f t="shared" si="459"/>
        <v>5225728.2800000031</v>
      </c>
      <c r="I40" s="7">
        <f>ROUND(H40*0.1,2)</f>
        <v>522572.83</v>
      </c>
      <c r="J40" s="7">
        <f t="shared" ref="J40" si="467">ROUND((I40*0.58)+((I40*0.42)*0.1),2)</f>
        <v>325040.3</v>
      </c>
      <c r="K40" s="7">
        <f t="shared" si="461"/>
        <v>197532.53</v>
      </c>
      <c r="L40" s="18">
        <f t="shared" ref="L40" si="468">IF(J40+K40=I40,H40-I40,"ERROR")</f>
        <v>4703155.450000003</v>
      </c>
      <c r="M40" s="7">
        <f t="shared" ref="M40" si="469">ROUND(L40*0.42,2)</f>
        <v>1975325.29</v>
      </c>
      <c r="N40" s="7">
        <v>0</v>
      </c>
      <c r="O40" s="7">
        <f>ROUND((L40*0.0955)+(L40*0.41),2)-0.02</f>
        <v>2377445.06</v>
      </c>
      <c r="P40" s="7">
        <f t="shared" ref="P40" si="470">ROUND((L40*0.04)*0.9,2)</f>
        <v>169313.6</v>
      </c>
      <c r="Q40" s="7">
        <f t="shared" ref="Q40" si="471">ROUND(L40*0.005,2)</f>
        <v>23515.78</v>
      </c>
      <c r="R40" s="7">
        <f t="shared" ref="R40" si="472">ROUND((L40*0.0075)*0.9,2)</f>
        <v>31746.3</v>
      </c>
      <c r="S40" s="7">
        <f t="shared" ref="S40" si="473">ROUND((L40*0.0075)*0.9,2)</f>
        <v>31746.3</v>
      </c>
      <c r="T40" s="7">
        <f>ROUND(L40*0.02/2,2)+0.01</f>
        <v>47031.560000000005</v>
      </c>
      <c r="U40" s="7">
        <f>ROUND(L40*0.02/2,2)+0.01</f>
        <v>47031.560000000005</v>
      </c>
      <c r="V40" s="16">
        <f t="shared" ref="V40" si="474">E40/W40</f>
        <v>3177.7390251021616</v>
      </c>
      <c r="W40" s="8">
        <v>1713</v>
      </c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</row>
    <row r="41" spans="1:96" ht="15" customHeight="1" x14ac:dyDescent="0.25">
      <c r="A41" s="6">
        <f>Mountaineer!A41</f>
        <v>45724</v>
      </c>
      <c r="B41" s="7">
        <v>67440985.540000007</v>
      </c>
      <c r="C41" s="7">
        <v>61372409.329999998</v>
      </c>
      <c r="D41" s="7">
        <v>1067346.75</v>
      </c>
      <c r="E41" s="7">
        <f t="shared" ref="E41" si="475">B41-C41-D41</f>
        <v>5001229.4600000083</v>
      </c>
      <c r="F41" s="7">
        <v>0</v>
      </c>
      <c r="G41" s="7">
        <f>ROUND(E41*0.04,2)-0.01</f>
        <v>200049.16999999998</v>
      </c>
      <c r="H41" s="7">
        <f t="shared" si="459"/>
        <v>4801180.2900000084</v>
      </c>
      <c r="I41" s="7">
        <f>ROUND(H41*0.1,2)</f>
        <v>480118.03</v>
      </c>
      <c r="J41" s="7">
        <f t="shared" ref="J41" si="476">ROUND((I41*0.58)+((I41*0.42)*0.1),2)</f>
        <v>298633.40999999997</v>
      </c>
      <c r="K41" s="7">
        <f t="shared" si="461"/>
        <v>181484.62</v>
      </c>
      <c r="L41" s="18">
        <f t="shared" ref="L41" si="477">IF(J41+K41=I41,H41-I41,"ERROR")</f>
        <v>4321062.2600000082</v>
      </c>
      <c r="M41" s="7">
        <f t="shared" ref="M41" si="478">ROUND(L41*0.42,2)</f>
        <v>1814846.15</v>
      </c>
      <c r="N41" s="7">
        <v>0</v>
      </c>
      <c r="O41" s="7">
        <f>ROUND((L41*0.0955)+(L41*0.41),2)+0.01</f>
        <v>2184296.98</v>
      </c>
      <c r="P41" s="7">
        <f t="shared" ref="P41" si="479">ROUND((L41*0.04)*0.9,2)</f>
        <v>155558.24</v>
      </c>
      <c r="Q41" s="7">
        <f t="shared" ref="Q41" si="480">ROUND(L41*0.005,2)</f>
        <v>21605.31</v>
      </c>
      <c r="R41" s="7">
        <f t="shared" ref="R41" si="481">ROUND((L41*0.0075)*0.9,2)</f>
        <v>29167.17</v>
      </c>
      <c r="S41" s="7">
        <f t="shared" ref="S41" si="482">ROUND((L41*0.0075)*0.9,2)</f>
        <v>29167.17</v>
      </c>
      <c r="T41" s="7">
        <f>ROUND(L41*0.02/2,2)</f>
        <v>43210.62</v>
      </c>
      <c r="U41" s="7">
        <f>ROUND(L41*0.02/2,2)</f>
        <v>43210.62</v>
      </c>
      <c r="V41" s="16">
        <f t="shared" ref="V41" si="483">E41/W41</f>
        <v>2862.7529822552997</v>
      </c>
      <c r="W41" s="8">
        <v>1747</v>
      </c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  <c r="BZ41" s="7"/>
      <c r="CA41" s="7"/>
      <c r="CB41" s="7"/>
      <c r="CC41" s="7"/>
      <c r="CD41" s="7"/>
      <c r="CE41" s="7"/>
      <c r="CF41" s="7"/>
      <c r="CG41" s="7"/>
      <c r="CH41" s="7"/>
      <c r="CI41" s="7"/>
      <c r="CJ41" s="7"/>
      <c r="CK41" s="7"/>
      <c r="CL41" s="7"/>
      <c r="CM41" s="7"/>
      <c r="CN41" s="7"/>
      <c r="CO41" s="7"/>
      <c r="CP41" s="7"/>
      <c r="CQ41" s="7"/>
      <c r="CR41" s="7"/>
    </row>
    <row r="42" spans="1:96" ht="15" customHeight="1" x14ac:dyDescent="0.25">
      <c r="A42" s="6">
        <f>Mountaineer!A42</f>
        <v>45731</v>
      </c>
      <c r="B42" s="7">
        <v>63707430.219999999</v>
      </c>
      <c r="C42" s="7">
        <v>57838306.219999991</v>
      </c>
      <c r="D42" s="7">
        <v>904533.45</v>
      </c>
      <c r="E42" s="7">
        <f t="shared" ref="E42" si="484">B42-C42-D42</f>
        <v>4964590.5500000073</v>
      </c>
      <c r="F42" s="7">
        <v>0</v>
      </c>
      <c r="G42" s="7">
        <f>ROUND(E42*0.04,2)+0.01</f>
        <v>198583.63</v>
      </c>
      <c r="H42" s="7">
        <f t="shared" si="459"/>
        <v>4766006.9200000074</v>
      </c>
      <c r="I42" s="7">
        <f>ROUND(H42*0.1,2)+0.02</f>
        <v>476600.71</v>
      </c>
      <c r="J42" s="7">
        <f t="shared" ref="J42:J47" si="485">ROUND((I42*0.58)+((I42*0.42)*0.1),2)</f>
        <v>296445.64</v>
      </c>
      <c r="K42" s="7">
        <f t="shared" si="461"/>
        <v>180155.07</v>
      </c>
      <c r="L42" s="18">
        <f t="shared" ref="L42" si="486">IF(J42+K42=I42,H42-I42,"ERROR")</f>
        <v>4289406.2100000074</v>
      </c>
      <c r="M42" s="7">
        <f t="shared" ref="M42" si="487">ROUND(L42*0.42,2)</f>
        <v>1801550.61</v>
      </c>
      <c r="N42" s="7">
        <v>0</v>
      </c>
      <c r="O42" s="7">
        <f>ROUND((L42*0.0955)+(L42*0.41),2)+0.01</f>
        <v>2168294.8499999996</v>
      </c>
      <c r="P42" s="7">
        <f t="shared" ref="P42" si="488">ROUND((L42*0.04)*0.9,2)</f>
        <v>154418.62</v>
      </c>
      <c r="Q42" s="7">
        <f t="shared" ref="Q42" si="489">ROUND(L42*0.005,2)</f>
        <v>21447.03</v>
      </c>
      <c r="R42" s="7">
        <f t="shared" ref="R42" si="490">ROUND((L42*0.0075)*0.9,2)</f>
        <v>28953.49</v>
      </c>
      <c r="S42" s="7">
        <f t="shared" ref="S42" si="491">ROUND((L42*0.0075)*0.9,2)</f>
        <v>28953.49</v>
      </c>
      <c r="T42" s="7">
        <f>ROUND(L42*0.02/2,2)</f>
        <v>42894.06</v>
      </c>
      <c r="U42" s="7">
        <f>ROUND(L42*0.02/2,2)</f>
        <v>42894.06</v>
      </c>
      <c r="V42" s="16">
        <f t="shared" ref="V42" si="492">E42/W42</f>
        <v>2822.3937180216071</v>
      </c>
      <c r="W42" s="8">
        <v>1759</v>
      </c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</row>
    <row r="43" spans="1:96" ht="15" customHeight="1" x14ac:dyDescent="0.25">
      <c r="A43" s="6">
        <f>Mountaineer!A43</f>
        <v>45738</v>
      </c>
      <c r="B43" s="7">
        <v>66110284.5</v>
      </c>
      <c r="C43" s="7">
        <v>59813528.57</v>
      </c>
      <c r="D43" s="7">
        <v>1042416.39</v>
      </c>
      <c r="E43" s="7">
        <f t="shared" ref="E43" si="493">B43-C43-D43</f>
        <v>5254339.54</v>
      </c>
      <c r="F43" s="7">
        <v>0</v>
      </c>
      <c r="G43" s="7">
        <f>ROUND(E43*0.04,2)</f>
        <v>210173.58</v>
      </c>
      <c r="H43" s="7">
        <f t="shared" si="459"/>
        <v>5044165.96</v>
      </c>
      <c r="I43" s="7">
        <f>ROUND(H43*0.1,2)</f>
        <v>504416.6</v>
      </c>
      <c r="J43" s="7">
        <f t="shared" si="485"/>
        <v>313747.13</v>
      </c>
      <c r="K43" s="7">
        <f t="shared" si="461"/>
        <v>190669.47</v>
      </c>
      <c r="L43" s="18">
        <f t="shared" ref="L43" si="494">IF(J43+K43=I43,H43-I43,"ERROR")</f>
        <v>4539749.3600000003</v>
      </c>
      <c r="M43" s="7">
        <f t="shared" ref="M43" si="495">ROUND(L43*0.42,2)</f>
        <v>1906694.73</v>
      </c>
      <c r="N43" s="7">
        <v>0</v>
      </c>
      <c r="O43" s="7">
        <f>ROUND((L43*0.0955)+(L43*0.41),2)-0.02</f>
        <v>2294843.2799999998</v>
      </c>
      <c r="P43" s="7">
        <f t="shared" ref="P43" si="496">ROUND((L43*0.04)*0.9,2)</f>
        <v>163430.98000000001</v>
      </c>
      <c r="Q43" s="7">
        <f t="shared" ref="Q43" si="497">ROUND(L43*0.005,2)</f>
        <v>22698.75</v>
      </c>
      <c r="R43" s="7">
        <f t="shared" ref="R43" si="498">ROUND((L43*0.0075)*0.9,2)</f>
        <v>30643.31</v>
      </c>
      <c r="S43" s="7">
        <f t="shared" ref="S43" si="499">ROUND((L43*0.0075)*0.9,2)</f>
        <v>30643.31</v>
      </c>
      <c r="T43" s="7">
        <f>ROUND(L43*0.02/2,2)+0.01</f>
        <v>45397.5</v>
      </c>
      <c r="U43" s="7">
        <f>ROUND(L43*0.02/2,2)+0.01</f>
        <v>45397.5</v>
      </c>
      <c r="V43" s="16">
        <f t="shared" ref="V43" si="500">E43/W43</f>
        <v>3002.4797371428572</v>
      </c>
      <c r="W43" s="8">
        <v>1750</v>
      </c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7"/>
      <c r="AM43" s="7"/>
      <c r="AN43" s="7"/>
      <c r="AO43" s="7"/>
      <c r="AP43" s="7"/>
      <c r="AQ43" s="7"/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  <c r="BZ43" s="7"/>
      <c r="CA43" s="7"/>
      <c r="CB43" s="7"/>
      <c r="CC43" s="7"/>
      <c r="CD43" s="7"/>
      <c r="CE43" s="7"/>
      <c r="CF43" s="7"/>
      <c r="CG43" s="7"/>
      <c r="CH43" s="7"/>
      <c r="CI43" s="7"/>
      <c r="CJ43" s="7"/>
      <c r="CK43" s="7"/>
      <c r="CL43" s="7"/>
      <c r="CM43" s="7"/>
      <c r="CN43" s="7"/>
      <c r="CO43" s="7"/>
      <c r="CP43" s="7"/>
      <c r="CQ43" s="7"/>
      <c r="CR43" s="7"/>
    </row>
    <row r="44" spans="1:96" ht="15" customHeight="1" x14ac:dyDescent="0.25">
      <c r="A44" s="6">
        <f>Mountaineer!A44</f>
        <v>45745</v>
      </c>
      <c r="B44" s="7">
        <v>67930943.280000001</v>
      </c>
      <c r="C44" s="7">
        <v>61475103.560000002</v>
      </c>
      <c r="D44" s="7">
        <v>1043590.58</v>
      </c>
      <c r="E44" s="7">
        <f t="shared" ref="E44" si="501">B44-C44-D44</f>
        <v>5412249.1399999987</v>
      </c>
      <c r="F44" s="7">
        <v>0</v>
      </c>
      <c r="G44" s="7">
        <f>ROUND(E44*0.04,2)-0.01</f>
        <v>216489.96</v>
      </c>
      <c r="H44" s="7">
        <f t="shared" si="459"/>
        <v>5195759.1799999988</v>
      </c>
      <c r="I44" s="7">
        <f>ROUND(H44*0.1,2)+0.01</f>
        <v>519575.93</v>
      </c>
      <c r="J44" s="7">
        <f t="shared" si="485"/>
        <v>323176.23</v>
      </c>
      <c r="K44" s="7">
        <f t="shared" si="461"/>
        <v>196399.7</v>
      </c>
      <c r="L44" s="18">
        <f t="shared" ref="L44" si="502">IF(J44+K44=I44,H44-I44,"ERROR")</f>
        <v>4676183.2499999991</v>
      </c>
      <c r="M44" s="7">
        <f t="shared" ref="M44" si="503">ROUND(L44*0.42,2)</f>
        <v>1963996.97</v>
      </c>
      <c r="N44" s="7">
        <v>0</v>
      </c>
      <c r="O44" s="7">
        <f>ROUND((L44*0.0955)+(L44*0.41),2)-0.03</f>
        <v>2363810.6</v>
      </c>
      <c r="P44" s="7">
        <f t="shared" ref="P44" si="504">ROUND((L44*0.04)*0.9,2)</f>
        <v>168342.6</v>
      </c>
      <c r="Q44" s="7">
        <f t="shared" ref="Q44" si="505">ROUND(L44*0.005,2)</f>
        <v>23380.92</v>
      </c>
      <c r="R44" s="7">
        <f t="shared" ref="R44" si="506">ROUND((L44*0.0075)*0.9,2)</f>
        <v>31564.240000000002</v>
      </c>
      <c r="S44" s="7">
        <f t="shared" ref="S44" si="507">ROUND((L44*0.0075)*0.9,2)</f>
        <v>31564.240000000002</v>
      </c>
      <c r="T44" s="7">
        <f>ROUND(L44*0.02/2,2)+0.01</f>
        <v>46761.840000000004</v>
      </c>
      <c r="U44" s="7">
        <f>ROUND(L44*0.02/2,2)+0.01</f>
        <v>46761.840000000004</v>
      </c>
      <c r="V44" s="16">
        <f t="shared" ref="V44" si="508">E44/W44</f>
        <v>3123.0520138488164</v>
      </c>
      <c r="W44" s="8">
        <v>1733</v>
      </c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7"/>
      <c r="AM44" s="7"/>
      <c r="AN44" s="7"/>
      <c r="AO44" s="7"/>
      <c r="AP44" s="7"/>
      <c r="AQ44" s="7"/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  <c r="BZ44" s="7"/>
      <c r="CA44" s="7"/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</row>
    <row r="45" spans="1:96" ht="15" customHeight="1" x14ac:dyDescent="0.25">
      <c r="A45" s="6">
        <f>Mountaineer!A45</f>
        <v>45752</v>
      </c>
      <c r="B45" s="7">
        <v>66636820.840000004</v>
      </c>
      <c r="C45" s="7">
        <v>59975400.299999997</v>
      </c>
      <c r="D45" s="7">
        <v>1100404.3399999999</v>
      </c>
      <c r="E45" s="7">
        <f t="shared" ref="E45" si="509">B45-C45-D45</f>
        <v>5561016.2000000067</v>
      </c>
      <c r="F45" s="7">
        <v>0</v>
      </c>
      <c r="G45" s="7">
        <f>ROUND(E45*0.04,2)</f>
        <v>222440.65</v>
      </c>
      <c r="H45" s="7">
        <f t="shared" ref="H45" si="510">E45-F45-G45</f>
        <v>5338575.5500000063</v>
      </c>
      <c r="I45" s="7">
        <f>ROUND(H45*0.1,2)</f>
        <v>533857.56000000006</v>
      </c>
      <c r="J45" s="7">
        <f t="shared" si="485"/>
        <v>332059.40000000002</v>
      </c>
      <c r="K45" s="7">
        <f t="shared" ref="K45" si="511">ROUND((I45*0.42)*0.9,2)</f>
        <v>201798.16</v>
      </c>
      <c r="L45" s="18">
        <f t="shared" ref="L45" si="512">IF(J45+K45=I45,H45-I45,"ERROR")</f>
        <v>4804717.9900000058</v>
      </c>
      <c r="M45" s="7">
        <f t="shared" ref="M45" si="513">ROUND(L45*0.42,2)</f>
        <v>2017981.56</v>
      </c>
      <c r="N45" s="7">
        <v>0</v>
      </c>
      <c r="O45" s="7">
        <f>ROUND((L45*0.0955)+(L45*0.41),2)-0.01</f>
        <v>2428784.9300000002</v>
      </c>
      <c r="P45" s="7">
        <f t="shared" ref="P45" si="514">ROUND((L45*0.04)*0.9,2)</f>
        <v>172969.85</v>
      </c>
      <c r="Q45" s="7">
        <f t="shared" ref="Q45" si="515">ROUND(L45*0.005,2)</f>
        <v>24023.59</v>
      </c>
      <c r="R45" s="7">
        <f t="shared" ref="R45" si="516">ROUND((L45*0.0075)*0.9,2)</f>
        <v>32431.85</v>
      </c>
      <c r="S45" s="7">
        <f t="shared" ref="S45" si="517">ROUND((L45*0.0075)*0.9,2)</f>
        <v>32431.85</v>
      </c>
      <c r="T45" s="7">
        <f>ROUND(L45*0.02/2,2)</f>
        <v>48047.18</v>
      </c>
      <c r="U45" s="7">
        <f>ROUND(L45*0.02/2,2)</f>
        <v>48047.18</v>
      </c>
      <c r="V45" s="16">
        <f t="shared" ref="V45" si="518">E45/W45</f>
        <v>3201.5061600460604</v>
      </c>
      <c r="W45" s="8">
        <v>1737</v>
      </c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7"/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  <c r="BZ45" s="7"/>
      <c r="CA45" s="7"/>
      <c r="CB45" s="7"/>
      <c r="CC45" s="7"/>
      <c r="CD45" s="7"/>
      <c r="CE45" s="7"/>
      <c r="CF45" s="7"/>
      <c r="CG45" s="7"/>
      <c r="CH45" s="7"/>
      <c r="CI45" s="7"/>
      <c r="CJ45" s="7"/>
      <c r="CK45" s="7"/>
      <c r="CL45" s="7"/>
      <c r="CM45" s="7"/>
      <c r="CN45" s="7"/>
      <c r="CO45" s="7"/>
      <c r="CP45" s="7"/>
      <c r="CQ45" s="7"/>
      <c r="CR45" s="7"/>
    </row>
    <row r="46" spans="1:96" ht="15" customHeight="1" x14ac:dyDescent="0.25">
      <c r="A46" s="6">
        <f>Mountaineer!A46</f>
        <v>45759</v>
      </c>
      <c r="B46" s="7">
        <v>65004636.459999993</v>
      </c>
      <c r="C46" s="7">
        <v>58696349.239999995</v>
      </c>
      <c r="D46" s="7">
        <v>990441.4</v>
      </c>
      <c r="E46" s="7">
        <f t="shared" ref="E46" si="519">B46-C46-D46</f>
        <v>5317845.8199999984</v>
      </c>
      <c r="F46" s="7">
        <v>0</v>
      </c>
      <c r="G46" s="7">
        <f>ROUND(E46*0.04,2)</f>
        <v>212713.83</v>
      </c>
      <c r="H46" s="7">
        <f t="shared" ref="H46" si="520">E46-F46-G46</f>
        <v>5105131.9899999984</v>
      </c>
      <c r="I46" s="7">
        <f>ROUND(H46*0.1,2)</f>
        <v>510513.2</v>
      </c>
      <c r="J46" s="7">
        <f t="shared" si="485"/>
        <v>317539.21000000002</v>
      </c>
      <c r="K46" s="7">
        <f t="shared" ref="K46" si="521">ROUND((I46*0.42)*0.9,2)</f>
        <v>192973.99</v>
      </c>
      <c r="L46" s="18">
        <f t="shared" ref="L46" si="522">IF(J46+K46=I46,H46-I46,"ERROR")</f>
        <v>4594618.7899999982</v>
      </c>
      <c r="M46" s="7">
        <f t="shared" ref="M46" si="523">ROUND(L46*0.42,2)</f>
        <v>1929739.89</v>
      </c>
      <c r="N46" s="7">
        <v>0</v>
      </c>
      <c r="O46" s="7">
        <f>ROUND((L46*0.0955)+(L46*0.41),2)+0.01</f>
        <v>2322579.8099999996</v>
      </c>
      <c r="P46" s="7">
        <f t="shared" ref="P46" si="524">ROUND((L46*0.04)*0.9,2)</f>
        <v>165406.28</v>
      </c>
      <c r="Q46" s="7">
        <f t="shared" ref="Q46" si="525">ROUND(L46*0.005,2)</f>
        <v>22973.09</v>
      </c>
      <c r="R46" s="7">
        <f t="shared" ref="R46" si="526">ROUND((L46*0.0075)*0.9,2)</f>
        <v>31013.68</v>
      </c>
      <c r="S46" s="7">
        <f t="shared" ref="S46" si="527">ROUND((L46*0.0075)*0.9,2)</f>
        <v>31013.68</v>
      </c>
      <c r="T46" s="7">
        <f>ROUND(L46*0.02/2,2)-0.01</f>
        <v>45946.18</v>
      </c>
      <c r="U46" s="7">
        <f>ROUND(L46*0.02/2,2)-0.01</f>
        <v>45946.18</v>
      </c>
      <c r="V46" s="16">
        <f t="shared" ref="V46" si="528">E46/W46</f>
        <v>3086.3875914103301</v>
      </c>
      <c r="W46" s="8">
        <v>1723</v>
      </c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7"/>
      <c r="AM46" s="7"/>
      <c r="AN46" s="7"/>
      <c r="AO46" s="7"/>
      <c r="AP46" s="7"/>
      <c r="AQ46" s="7"/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  <c r="BZ46" s="7"/>
      <c r="CA46" s="7"/>
      <c r="CB46" s="7"/>
      <c r="CC46" s="7"/>
      <c r="CD46" s="7"/>
      <c r="CE46" s="7"/>
      <c r="CF46" s="7"/>
      <c r="CG46" s="7"/>
      <c r="CH46" s="7"/>
      <c r="CI46" s="7"/>
      <c r="CJ46" s="7"/>
      <c r="CK46" s="7"/>
      <c r="CL46" s="7"/>
      <c r="CM46" s="7"/>
      <c r="CN46" s="7"/>
      <c r="CO46" s="7"/>
      <c r="CP46" s="7"/>
      <c r="CQ46" s="7"/>
      <c r="CR46" s="7"/>
    </row>
    <row r="47" spans="1:96" ht="15" customHeight="1" x14ac:dyDescent="0.25">
      <c r="A47" s="6">
        <f>Mountaineer!A47</f>
        <v>45766</v>
      </c>
      <c r="B47" s="7">
        <v>63675877.949999996</v>
      </c>
      <c r="C47" s="7">
        <v>57576470.880000003</v>
      </c>
      <c r="D47" s="7">
        <v>1013358.1699999999</v>
      </c>
      <c r="E47" s="7">
        <f t="shared" ref="E47" si="529">B47-C47-D47</f>
        <v>5086048.8999999929</v>
      </c>
      <c r="F47" s="7">
        <v>0</v>
      </c>
      <c r="G47" s="7">
        <f>ROUND(E47*0.04,2)</f>
        <v>203441.96</v>
      </c>
      <c r="H47" s="7">
        <f t="shared" ref="H47" si="530">E47-F47-G47</f>
        <v>4882606.939999993</v>
      </c>
      <c r="I47" s="7">
        <f>ROUND(H47*0.1,2)</f>
        <v>488260.69</v>
      </c>
      <c r="J47" s="7">
        <f t="shared" si="485"/>
        <v>303698.15000000002</v>
      </c>
      <c r="K47" s="7">
        <f t="shared" ref="K47" si="531">ROUND((I47*0.42)*0.9,2)</f>
        <v>184562.54</v>
      </c>
      <c r="L47" s="18">
        <f t="shared" ref="L47" si="532">IF(J47+K47=I47,H47-I47,"ERROR")</f>
        <v>4394346.2499999925</v>
      </c>
      <c r="M47" s="7">
        <f t="shared" ref="M47" si="533">ROUND(L47*0.42,2)</f>
        <v>1845625.43</v>
      </c>
      <c r="N47" s="7">
        <v>0</v>
      </c>
      <c r="O47" s="7">
        <f>ROUND((L47*0.0955)+(L47*0.41),2)-0.01</f>
        <v>2221342.02</v>
      </c>
      <c r="P47" s="7">
        <f t="shared" ref="P47" si="534">ROUND((L47*0.04)*0.9,2)</f>
        <v>158196.47</v>
      </c>
      <c r="Q47" s="7">
        <f t="shared" ref="Q47" si="535">ROUND(L47*0.005,2)</f>
        <v>21971.73</v>
      </c>
      <c r="R47" s="7">
        <f t="shared" ref="R47" si="536">ROUND((L47*0.0075)*0.9,2)</f>
        <v>29661.84</v>
      </c>
      <c r="S47" s="7">
        <f t="shared" ref="S47" si="537">ROUND((L47*0.0075)*0.9,2)</f>
        <v>29661.84</v>
      </c>
      <c r="T47" s="7">
        <f>ROUND(L47*0.02/2,2)</f>
        <v>43943.46</v>
      </c>
      <c r="U47" s="7">
        <f>ROUND(L47*0.02/2,2)</f>
        <v>43943.46</v>
      </c>
      <c r="V47" s="16">
        <f t="shared" ref="V47" si="538">E47/W47</f>
        <v>2963.8979603729563</v>
      </c>
      <c r="W47" s="8">
        <v>1716</v>
      </c>
      <c r="X47" s="7"/>
      <c r="Y47" s="7"/>
      <c r="Z47" s="7"/>
      <c r="AA47" s="7"/>
      <c r="AB47" s="7"/>
      <c r="AC47" s="7"/>
      <c r="AD47" s="7"/>
      <c r="AE47" s="7"/>
      <c r="AF47" s="7"/>
      <c r="AG47" s="7"/>
      <c r="AH47" s="7"/>
      <c r="AI47" s="7"/>
      <c r="AJ47" s="7"/>
      <c r="AK47" s="7"/>
      <c r="AL47" s="7"/>
      <c r="AM47" s="7"/>
      <c r="AN47" s="7"/>
      <c r="AO47" s="7"/>
      <c r="AP47" s="7"/>
      <c r="AQ47" s="7"/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  <c r="BZ47" s="7"/>
      <c r="CA47" s="7"/>
      <c r="CB47" s="7"/>
      <c r="CC47" s="7"/>
      <c r="CD47" s="7"/>
      <c r="CE47" s="7"/>
      <c r="CF47" s="7"/>
      <c r="CG47" s="7"/>
      <c r="CH47" s="7"/>
      <c r="CI47" s="7"/>
      <c r="CJ47" s="7"/>
      <c r="CK47" s="7"/>
      <c r="CL47" s="7"/>
      <c r="CM47" s="7"/>
      <c r="CN47" s="7"/>
      <c r="CO47" s="7"/>
      <c r="CP47" s="7"/>
      <c r="CQ47" s="7"/>
      <c r="CR47" s="7"/>
    </row>
    <row r="48" spans="1:96" ht="15" customHeight="1" x14ac:dyDescent="0.25">
      <c r="A48" s="6">
        <f>Mountaineer!A48</f>
        <v>45773</v>
      </c>
      <c r="B48" s="7">
        <v>67000488.290000007</v>
      </c>
      <c r="C48" s="7">
        <v>60428056.090000004</v>
      </c>
      <c r="D48" s="7">
        <v>1086574.93</v>
      </c>
      <c r="E48" s="7">
        <f t="shared" ref="E48" si="539">B48-C48-D48</f>
        <v>5485857.2700000033</v>
      </c>
      <c r="F48" s="7">
        <v>0</v>
      </c>
      <c r="G48" s="7">
        <f>ROUND(E48*0.04,2)</f>
        <v>219434.29</v>
      </c>
      <c r="H48" s="7">
        <f t="shared" ref="H48" si="540">E48-F48-G48</f>
        <v>5266422.9800000032</v>
      </c>
      <c r="I48" s="7">
        <f>ROUND(H48*0.1,2)-0.01</f>
        <v>526642.29</v>
      </c>
      <c r="J48" s="7">
        <f t="shared" ref="J48" si="541">ROUND((I48*0.58)+((I48*0.42)*0.1),2)</f>
        <v>327571.5</v>
      </c>
      <c r="K48" s="7">
        <f t="shared" ref="K48" si="542">ROUND((I48*0.42)*0.9,2)</f>
        <v>199070.79</v>
      </c>
      <c r="L48" s="18">
        <f t="shared" ref="L48" si="543">IF(J48+K48=I48,H48-I48,"ERROR")</f>
        <v>4739780.6900000032</v>
      </c>
      <c r="M48" s="7">
        <f t="shared" ref="M48" si="544">ROUND(L48*0.42,2)</f>
        <v>1990707.89</v>
      </c>
      <c r="N48" s="7">
        <v>0</v>
      </c>
      <c r="O48" s="7">
        <f>ROUND((L48*0.0955)+(L48*0.41),2)+0.02</f>
        <v>2395959.16</v>
      </c>
      <c r="P48" s="7">
        <f t="shared" ref="P48" si="545">ROUND((L48*0.04)*0.9,2)</f>
        <v>170632.1</v>
      </c>
      <c r="Q48" s="7">
        <f t="shared" ref="Q48" si="546">ROUND(L48*0.005,2)</f>
        <v>23698.9</v>
      </c>
      <c r="R48" s="7">
        <f t="shared" ref="R48" si="547">ROUND((L48*0.0075)*0.9,2)</f>
        <v>31993.52</v>
      </c>
      <c r="S48" s="7">
        <f t="shared" ref="S48" si="548">ROUND((L48*0.0075)*0.9,2)</f>
        <v>31993.52</v>
      </c>
      <c r="T48" s="7">
        <f>ROUND(L48*0.02/2,2)-0.01</f>
        <v>47397.799999999996</v>
      </c>
      <c r="U48" s="7">
        <f>ROUND(L48*0.02/2,2)-0.01</f>
        <v>47397.799999999996</v>
      </c>
      <c r="V48" s="16">
        <f t="shared" ref="V48" si="549">E48/W48</f>
        <v>3198.7505947521886</v>
      </c>
      <c r="W48" s="8">
        <v>1715</v>
      </c>
      <c r="X48" s="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  <c r="AL48" s="7"/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  <c r="BZ48" s="7"/>
      <c r="CA48" s="7"/>
      <c r="CB48" s="7"/>
      <c r="CC48" s="7"/>
      <c r="CD48" s="7"/>
      <c r="CE48" s="7"/>
      <c r="CF48" s="7"/>
      <c r="CG48" s="7"/>
      <c r="CH48" s="7"/>
      <c r="CI48" s="7"/>
      <c r="CJ48" s="7"/>
      <c r="CK48" s="7"/>
      <c r="CL48" s="7"/>
      <c r="CM48" s="7"/>
      <c r="CN48" s="7"/>
      <c r="CO48" s="7"/>
      <c r="CP48" s="7"/>
      <c r="CQ48" s="7"/>
      <c r="CR48" s="7"/>
    </row>
    <row r="49" spans="1:96" ht="15" customHeight="1" x14ac:dyDescent="0.25">
      <c r="A49" s="6">
        <f>Mountaineer!A49</f>
        <v>45780</v>
      </c>
      <c r="B49" s="7">
        <v>67488088.760000005</v>
      </c>
      <c r="C49" s="7">
        <v>61180850.669999994</v>
      </c>
      <c r="D49" s="7">
        <v>1094349.55</v>
      </c>
      <c r="E49" s="7">
        <f t="shared" ref="E49" si="550">B49-C49-D49</f>
        <v>5212888.5400000112</v>
      </c>
      <c r="F49" s="7">
        <v>0</v>
      </c>
      <c r="G49" s="7">
        <f>ROUND(E49*0.04,2)+0.01</f>
        <v>208515.55000000002</v>
      </c>
      <c r="H49" s="7">
        <f t="shared" ref="H49" si="551">E49-F49-G49</f>
        <v>5004372.9900000114</v>
      </c>
      <c r="I49" s="7">
        <f>ROUND(H49*0.1,2)</f>
        <v>500437.3</v>
      </c>
      <c r="J49" s="7">
        <f>ROUND((I49*0.58)+((I49*0.42)*0.1),2)</f>
        <v>311272</v>
      </c>
      <c r="K49" s="7">
        <f t="shared" ref="K49" si="552">ROUND((I49*0.42)*0.9,2)</f>
        <v>189165.3</v>
      </c>
      <c r="L49" s="18">
        <f t="shared" ref="L49" si="553">IF(J49+K49=I49,H49-I49,"ERROR")</f>
        <v>4503935.6900000116</v>
      </c>
      <c r="M49" s="7">
        <f t="shared" ref="M49" si="554">ROUND(L49*0.42,2)</f>
        <v>1891652.99</v>
      </c>
      <c r="N49" s="7">
        <v>0</v>
      </c>
      <c r="O49" s="7">
        <f>ROUND((L49*0.0955)+(L49*0.41),2)-0.01</f>
        <v>2276739.4800000004</v>
      </c>
      <c r="P49" s="7">
        <f t="shared" ref="P49" si="555">ROUND((L49*0.04)*0.9,2)</f>
        <v>162141.68</v>
      </c>
      <c r="Q49" s="7">
        <f t="shared" ref="Q49" si="556">ROUND(L49*0.005,2)</f>
        <v>22519.68</v>
      </c>
      <c r="R49" s="7">
        <f t="shared" ref="R49" si="557">ROUND((L49*0.0075)*0.9,2)</f>
        <v>30401.57</v>
      </c>
      <c r="S49" s="7">
        <f t="shared" ref="S49" si="558">ROUND((L49*0.0075)*0.9,2)</f>
        <v>30401.57</v>
      </c>
      <c r="T49" s="7">
        <f>ROUND(L49*0.02/2,2)</f>
        <v>45039.360000000001</v>
      </c>
      <c r="U49" s="7">
        <f>ROUND(L49*0.02/2,2)</f>
        <v>45039.360000000001</v>
      </c>
      <c r="V49" s="16">
        <f t="shared" ref="V49" si="559">E49/W49</f>
        <v>3030.7491511627973</v>
      </c>
      <c r="W49" s="8">
        <v>1720</v>
      </c>
      <c r="X49" s="7"/>
      <c r="Y49" s="7"/>
      <c r="Z49" s="7"/>
      <c r="AA49" s="7"/>
      <c r="AB49" s="7"/>
      <c r="AC49" s="7"/>
      <c r="AD49" s="7"/>
      <c r="AE49" s="7"/>
      <c r="AF49" s="7"/>
      <c r="AG49" s="7"/>
      <c r="AH49" s="7"/>
      <c r="AI49" s="7"/>
      <c r="AJ49" s="7"/>
      <c r="AK49" s="7"/>
      <c r="AL49" s="7"/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  <c r="BZ49" s="7"/>
      <c r="CA49" s="7"/>
      <c r="CB49" s="7"/>
      <c r="CC49" s="7"/>
      <c r="CD49" s="7"/>
      <c r="CE49" s="7"/>
      <c r="CF49" s="7"/>
      <c r="CG49" s="7"/>
      <c r="CH49" s="7"/>
      <c r="CI49" s="7"/>
      <c r="CJ49" s="7"/>
      <c r="CK49" s="7"/>
      <c r="CL49" s="7"/>
      <c r="CM49" s="7"/>
      <c r="CN49" s="7"/>
      <c r="CO49" s="7"/>
      <c r="CP49" s="7"/>
      <c r="CQ49" s="7"/>
      <c r="CR49" s="7"/>
    </row>
    <row r="50" spans="1:96" ht="15" customHeight="1" x14ac:dyDescent="0.25">
      <c r="A50" s="6">
        <f>Mountaineer!A50</f>
        <v>45787</v>
      </c>
      <c r="B50" s="7">
        <v>65119286.579999998</v>
      </c>
      <c r="C50" s="7">
        <v>59209622.059999995</v>
      </c>
      <c r="D50" s="7">
        <v>1032429.06</v>
      </c>
      <c r="E50" s="7">
        <f t="shared" ref="E50" si="560">B50-C50-D50</f>
        <v>4877235.4600000028</v>
      </c>
      <c r="F50" s="7">
        <v>0</v>
      </c>
      <c r="G50" s="7">
        <f>ROUND(E50*0.04,2)+0.01</f>
        <v>195089.43000000002</v>
      </c>
      <c r="H50" s="7">
        <f t="shared" ref="H50" si="561">E50-F50-G50</f>
        <v>4682146.0300000031</v>
      </c>
      <c r="I50" s="7">
        <f>ROUND(H50*0.1,2)</f>
        <v>468214.6</v>
      </c>
      <c r="J50" s="7">
        <f>ROUND((I50*0.58)+((I50*0.42)*0.1),2)</f>
        <v>291229.48</v>
      </c>
      <c r="K50" s="7">
        <f t="shared" ref="K50" si="562">ROUND((I50*0.42)*0.9,2)</f>
        <v>176985.12</v>
      </c>
      <c r="L50" s="18">
        <f t="shared" ref="L50" si="563">IF(J50+K50=I50,H50-I50,"ERROR")</f>
        <v>4213931.4300000034</v>
      </c>
      <c r="M50" s="7">
        <f t="shared" ref="M50" si="564">ROUND(L50*0.42,2)</f>
        <v>1769851.2</v>
      </c>
      <c r="N50" s="7">
        <v>0</v>
      </c>
      <c r="O50" s="7">
        <f>ROUND((L50*0.0955)+(L50*0.41),2)-0.02</f>
        <v>2130142.3199999998</v>
      </c>
      <c r="P50" s="7">
        <f t="shared" ref="P50" si="565">ROUND((L50*0.04)*0.9,2)</f>
        <v>151701.53</v>
      </c>
      <c r="Q50" s="7">
        <f t="shared" ref="Q50" si="566">ROUND(L50*0.005,2)</f>
        <v>21069.66</v>
      </c>
      <c r="R50" s="7">
        <f t="shared" ref="R50" si="567">ROUND((L50*0.0075)*0.9,2)</f>
        <v>28444.04</v>
      </c>
      <c r="S50" s="7">
        <f t="shared" ref="S50" si="568">ROUND((L50*0.0075)*0.9,2)</f>
        <v>28444.04</v>
      </c>
      <c r="T50" s="7">
        <f>ROUND(L50*0.02/2,2)+0.01</f>
        <v>42139.32</v>
      </c>
      <c r="U50" s="7">
        <f>ROUND(L50*0.02/2,2)+0.01</f>
        <v>42139.32</v>
      </c>
      <c r="V50" s="16">
        <f t="shared" ref="V50" si="569">E50/W50</f>
        <v>2819.2112485549151</v>
      </c>
      <c r="W50" s="8">
        <v>1730</v>
      </c>
      <c r="X50" s="7"/>
      <c r="Y50" s="7"/>
      <c r="Z50" s="7"/>
      <c r="AA50" s="7"/>
      <c r="AB50" s="7"/>
      <c r="AC50" s="7"/>
      <c r="AD50" s="7"/>
      <c r="AE50" s="7"/>
      <c r="AF50" s="7"/>
      <c r="AG50" s="7"/>
      <c r="AH50" s="7"/>
      <c r="AI50" s="7"/>
      <c r="AJ50" s="7"/>
      <c r="AK50" s="7"/>
      <c r="AL50" s="7"/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7"/>
      <c r="BZ50" s="7"/>
      <c r="CA50" s="7"/>
      <c r="CB50" s="7"/>
      <c r="CC50" s="7"/>
      <c r="CD50" s="7"/>
      <c r="CE50" s="7"/>
      <c r="CF50" s="7"/>
      <c r="CG50" s="7"/>
      <c r="CH50" s="7"/>
      <c r="CI50" s="7"/>
      <c r="CJ50" s="7"/>
      <c r="CK50" s="7"/>
      <c r="CL50" s="7"/>
      <c r="CM50" s="7"/>
      <c r="CN50" s="7"/>
      <c r="CO50" s="7"/>
      <c r="CP50" s="7"/>
      <c r="CQ50" s="7"/>
      <c r="CR50" s="7"/>
    </row>
    <row r="51" spans="1:96" ht="15" customHeight="1" x14ac:dyDescent="0.25">
      <c r="A51" s="6">
        <f>Mountaineer!A51</f>
        <v>45794</v>
      </c>
      <c r="B51" s="7">
        <v>67524657.300000012</v>
      </c>
      <c r="C51" s="7">
        <v>61448426.920000002</v>
      </c>
      <c r="D51" s="7">
        <v>1148606.44</v>
      </c>
      <c r="E51" s="7">
        <f t="shared" ref="E51" si="570">B51-C51-D51</f>
        <v>4927623.9400000107</v>
      </c>
      <c r="F51" s="7">
        <v>0</v>
      </c>
      <c r="G51" s="7">
        <f>ROUND(E51*0.04,2)+0.01</f>
        <v>197104.97</v>
      </c>
      <c r="H51" s="7">
        <f t="shared" ref="H51" si="571">E51-F51-G51</f>
        <v>4730518.9700000109</v>
      </c>
      <c r="I51" s="7">
        <f>ROUND(H51*0.1,2)</f>
        <v>473051.9</v>
      </c>
      <c r="J51" s="7">
        <f>ROUND((I51*0.58)+((I51*0.42)*0.1),2)</f>
        <v>294238.28000000003</v>
      </c>
      <c r="K51" s="7">
        <f t="shared" ref="K51" si="572">ROUND((I51*0.42)*0.9,2)</f>
        <v>178813.62</v>
      </c>
      <c r="L51" s="18">
        <f t="shared" ref="L51" si="573">IF(J51+K51=I51,H51-I51,"ERROR")</f>
        <v>4257467.0700000105</v>
      </c>
      <c r="M51" s="7">
        <f t="shared" ref="M51" si="574">ROUND(L51*0.42,2)</f>
        <v>1788136.17</v>
      </c>
      <c r="N51" s="7">
        <v>0</v>
      </c>
      <c r="O51" s="7">
        <f>ROUND((L51*0.0955)+(L51*0.41),2)-0.01</f>
        <v>2152149.5900000003</v>
      </c>
      <c r="P51" s="7">
        <f t="shared" ref="P51" si="575">ROUND((L51*0.04)*0.9,2)</f>
        <v>153268.81</v>
      </c>
      <c r="Q51" s="7">
        <f t="shared" ref="Q51" si="576">ROUND(L51*0.005,2)</f>
        <v>21287.34</v>
      </c>
      <c r="R51" s="7">
        <f t="shared" ref="R51" si="577">ROUND((L51*0.0075)*0.9,2)</f>
        <v>28737.9</v>
      </c>
      <c r="S51" s="7">
        <f t="shared" ref="S51" si="578">ROUND((L51*0.0075)*0.9,2)</f>
        <v>28737.9</v>
      </c>
      <c r="T51" s="7">
        <f>ROUND(L51*0.02/2,2)+0.01</f>
        <v>42574.68</v>
      </c>
      <c r="U51" s="7">
        <f>ROUND(L51*0.02/2,2)+0.01</f>
        <v>42574.68</v>
      </c>
      <c r="V51" s="16">
        <f t="shared" ref="V51" si="579">E51/W51</f>
        <v>2831.9677816092017</v>
      </c>
      <c r="W51" s="8">
        <v>1740</v>
      </c>
      <c r="X51" s="7"/>
      <c r="Y51" s="7"/>
      <c r="Z51" s="7"/>
      <c r="AA51" s="7"/>
      <c r="AB51" s="7"/>
      <c r="AC51" s="7"/>
      <c r="AD51" s="7"/>
      <c r="AE51" s="7"/>
      <c r="AF51" s="7"/>
      <c r="AG51" s="7"/>
      <c r="AH51" s="7"/>
      <c r="AI51" s="7"/>
      <c r="AJ51" s="7"/>
      <c r="AK51" s="7"/>
      <c r="AL51" s="7"/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  <c r="BZ51" s="7"/>
      <c r="CA51" s="7"/>
      <c r="CB51" s="7"/>
      <c r="CC51" s="7"/>
      <c r="CD51" s="7"/>
      <c r="CE51" s="7"/>
      <c r="CF51" s="7"/>
      <c r="CG51" s="7"/>
      <c r="CH51" s="7"/>
      <c r="CI51" s="7"/>
      <c r="CJ51" s="7"/>
      <c r="CK51" s="7"/>
      <c r="CL51" s="7"/>
      <c r="CM51" s="7"/>
      <c r="CN51" s="7"/>
      <c r="CO51" s="7"/>
      <c r="CP51" s="7"/>
      <c r="CQ51" s="7"/>
      <c r="CR51" s="7"/>
    </row>
    <row r="52" spans="1:96" ht="15" customHeight="1" x14ac:dyDescent="0.25">
      <c r="A52" s="6">
        <f>Mountaineer!A52</f>
        <v>45801</v>
      </c>
      <c r="B52" s="7">
        <v>68234858.410000011</v>
      </c>
      <c r="C52" s="7">
        <v>61657031.140000001</v>
      </c>
      <c r="D52" s="7">
        <v>1125169.92</v>
      </c>
      <c r="E52" s="7">
        <f t="shared" ref="E52" si="580">B52-C52-D52</f>
        <v>5452657.3500000108</v>
      </c>
      <c r="F52" s="7">
        <v>0</v>
      </c>
      <c r="G52" s="7">
        <f>ROUND(E52*0.04,2)+0.01</f>
        <v>218106.30000000002</v>
      </c>
      <c r="H52" s="7">
        <f t="shared" ref="H52" si="581">E52-F52-G52</f>
        <v>5234551.050000011</v>
      </c>
      <c r="I52" s="7">
        <f>ROUND(H52*0.1,2)-0.01</f>
        <v>523455.1</v>
      </c>
      <c r="J52" s="7">
        <f>ROUND((I52*0.58)+((I52*0.42)*0.1),2)</f>
        <v>325589.07</v>
      </c>
      <c r="K52" s="7">
        <f t="shared" ref="K52" si="582">ROUND((I52*0.42)*0.9,2)</f>
        <v>197866.03</v>
      </c>
      <c r="L52" s="18">
        <f t="shared" ref="L52" si="583">IF(J52+K52=I52,H52-I52,"ERROR")</f>
        <v>4711095.9500000114</v>
      </c>
      <c r="M52" s="7">
        <f t="shared" ref="M52" si="584">ROUND(L52*0.42,2)</f>
        <v>1978660.3</v>
      </c>
      <c r="N52" s="7">
        <v>0</v>
      </c>
      <c r="O52" s="7">
        <f>ROUND((L52*0.0955)+(L52*0.41),2)</f>
        <v>2381459</v>
      </c>
      <c r="P52" s="7">
        <f t="shared" ref="P52" si="585">ROUND((L52*0.04)*0.9,2)</f>
        <v>169599.45</v>
      </c>
      <c r="Q52" s="7">
        <f t="shared" ref="Q52" si="586">ROUND(L52*0.005,2)</f>
        <v>23555.48</v>
      </c>
      <c r="R52" s="7">
        <f t="shared" ref="R52" si="587">ROUND((L52*0.0075)*0.9,2)</f>
        <v>31799.9</v>
      </c>
      <c r="S52" s="7">
        <f t="shared" ref="S52" si="588">ROUND((L52*0.0075)*0.9,2)</f>
        <v>31799.9</v>
      </c>
      <c r="T52" s="7">
        <f>ROUND(L52*0.02/2,2)</f>
        <v>47110.96</v>
      </c>
      <c r="U52" s="7">
        <f>ROUND(L52*0.02/2,2)</f>
        <v>47110.96</v>
      </c>
      <c r="V52" s="16">
        <f t="shared" ref="V52" si="589">E52/W52</f>
        <v>3168.3075828007036</v>
      </c>
      <c r="W52" s="8">
        <v>1721</v>
      </c>
      <c r="X52" s="7"/>
      <c r="Y52" s="7"/>
      <c r="Z52" s="7"/>
      <c r="AA52" s="7"/>
      <c r="AB52" s="7"/>
      <c r="AC52" s="7"/>
      <c r="AD52" s="7"/>
      <c r="AE52" s="7"/>
      <c r="AF52" s="7"/>
      <c r="AG52" s="7"/>
      <c r="AH52" s="7"/>
      <c r="AI52" s="7"/>
      <c r="AJ52" s="7"/>
      <c r="AK52" s="7"/>
      <c r="AL52" s="7"/>
      <c r="AM52" s="7"/>
      <c r="AN52" s="7"/>
      <c r="AO52" s="7"/>
      <c r="AP52" s="7"/>
      <c r="AQ52" s="7"/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  <c r="BZ52" s="7"/>
      <c r="CA52" s="7"/>
      <c r="CB52" s="7"/>
      <c r="CC52" s="7"/>
      <c r="CD52" s="7"/>
      <c r="CE52" s="7"/>
      <c r="CF52" s="7"/>
      <c r="CG52" s="7"/>
      <c r="CH52" s="7"/>
      <c r="CI52" s="7"/>
      <c r="CJ52" s="7"/>
      <c r="CK52" s="7"/>
      <c r="CL52" s="7"/>
      <c r="CM52" s="7"/>
      <c r="CN52" s="7"/>
      <c r="CO52" s="7"/>
      <c r="CP52" s="7"/>
      <c r="CQ52" s="7"/>
      <c r="CR52" s="7"/>
    </row>
    <row r="53" spans="1:96" ht="15" customHeight="1" x14ac:dyDescent="0.25">
      <c r="B53" s="9"/>
      <c r="V53" s="10"/>
    </row>
    <row r="54" spans="1:96" ht="15" customHeight="1" thickBot="1" x14ac:dyDescent="0.3">
      <c r="B54" s="11">
        <f t="shared" ref="B54:U54" si="590">SUM(B6:B53)</f>
        <v>2929526050.6699996</v>
      </c>
      <c r="C54" s="11">
        <f t="shared" si="590"/>
        <v>2648792752.4699998</v>
      </c>
      <c r="D54" s="11">
        <f t="shared" si="590"/>
        <v>46365786.019999996</v>
      </c>
      <c r="E54" s="11">
        <f t="shared" si="590"/>
        <v>234367512.18000007</v>
      </c>
      <c r="F54" s="11">
        <f t="shared" si="590"/>
        <v>5340672.9099999992</v>
      </c>
      <c r="G54" s="11">
        <f t="shared" si="590"/>
        <v>4034027.6799999997</v>
      </c>
      <c r="H54" s="11">
        <f t="shared" si="590"/>
        <v>224992811.59000006</v>
      </c>
      <c r="I54" s="11">
        <f t="shared" si="590"/>
        <v>9280572.1199999992</v>
      </c>
      <c r="J54" s="11">
        <f t="shared" si="590"/>
        <v>5772515.8500000006</v>
      </c>
      <c r="K54" s="11">
        <f t="shared" si="590"/>
        <v>3508056.27</v>
      </c>
      <c r="L54" s="11">
        <f t="shared" si="590"/>
        <v>215712239.47000006</v>
      </c>
      <c r="M54" s="11">
        <f t="shared" si="590"/>
        <v>96547559.690000013</v>
      </c>
      <c r="N54" s="11">
        <f t="shared" si="590"/>
        <v>39656127.320000008</v>
      </c>
      <c r="O54" s="11">
        <f t="shared" si="590"/>
        <v>59208003.600000016</v>
      </c>
      <c r="P54" s="11">
        <f t="shared" si="590"/>
        <v>11334692.069999995</v>
      </c>
      <c r="Q54" s="11">
        <f t="shared" si="590"/>
        <v>1739496.67</v>
      </c>
      <c r="R54" s="11">
        <f t="shared" si="590"/>
        <v>1456057.64</v>
      </c>
      <c r="S54" s="11">
        <f t="shared" si="590"/>
        <v>1456057.64</v>
      </c>
      <c r="T54" s="11">
        <f t="shared" si="590"/>
        <v>2613154.16</v>
      </c>
      <c r="U54" s="11">
        <f t="shared" si="590"/>
        <v>1701090.6800000002</v>
      </c>
      <c r="V54" s="12">
        <f>AVERAGE(V6:V53)</f>
        <v>2907.3829804799097</v>
      </c>
      <c r="W54" s="13">
        <f>AVERAGE(W6:W53)</f>
        <v>1715.7446808510638</v>
      </c>
    </row>
    <row r="55" spans="1:96" ht="15" customHeight="1" thickTop="1" x14ac:dyDescent="0.25"/>
    <row r="56" spans="1:96" ht="15" customHeight="1" x14ac:dyDescent="0.25">
      <c r="A56" s="1" t="s">
        <v>34</v>
      </c>
    </row>
    <row r="57" spans="1:96" ht="15" customHeight="1" x14ac:dyDescent="0.25">
      <c r="A57" s="1" t="s">
        <v>4</v>
      </c>
    </row>
  </sheetData>
  <mergeCells count="1">
    <mergeCell ref="A4:W4"/>
  </mergeCells>
  <pageMargins left="0.25" right="0.25" top="0.5" bottom="0.25" header="0" footer="0"/>
  <pageSetup paperSize="5" scale="50" orientation="landscape" r:id="rId1"/>
  <headerFooter>
    <oddHeader>&amp;CHOLLYWOOD CASINO AT CHARLES TOWN RACES VIDEO LOTTERY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Total</vt:lpstr>
      <vt:lpstr>Mountaineer</vt:lpstr>
      <vt:lpstr>Wheeling</vt:lpstr>
      <vt:lpstr>Mardi Gras</vt:lpstr>
      <vt:lpstr>Charles Town</vt:lpstr>
      <vt:lpstr>'Charles Town'!Print_Area</vt:lpstr>
      <vt:lpstr>'Mardi Gras'!Print_Area</vt:lpstr>
      <vt:lpstr>Mountaineer!Print_Area</vt:lpstr>
      <vt:lpstr>Total!Print_Area</vt:lpstr>
      <vt:lpstr>Wheeling!Print_Area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Mara Dawson</dc:creator>
  <cp:lastModifiedBy>Emily Boyd</cp:lastModifiedBy>
  <cp:lastPrinted>2024-07-10T17:20:40Z</cp:lastPrinted>
  <dcterms:created xsi:type="dcterms:W3CDTF">2017-06-07T17:06:12Z</dcterms:created>
  <dcterms:modified xsi:type="dcterms:W3CDTF">2025-05-29T19:10:15Z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2024-08-28T12:49:10Z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cc9637ce-9b2d-4988-803c-c0cecc2b9d7a</vt:lpwstr>
  </property>
  <property fmtid="{D5CDD505-2E9C-101B-9397-08002B2CF9AE}" pid="7" name="MSIP_Label_defa4170-0d19-0005-0004-bc88714345d2_ActionId">
    <vt:lpwstr>fdfbf04b-76fc-4967-a2a5-5f335b45e978</vt:lpwstr>
  </property>
  <property fmtid="{D5CDD505-2E9C-101B-9397-08002B2CF9AE}" pid="8" name="MSIP_Label_defa4170-0d19-0005-0004-bc88714345d2_ContentBits">
    <vt:lpwstr>0</vt:lpwstr>
  </property>
</Properties>
</file>